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defaultThemeVersion="124226"/>
  <xr:revisionPtr revIDLastSave="0" documentId="13_ncr:1_{7397E231-99C5-4F35-85E5-980D38C7D8F9}" xr6:coauthVersionLast="45" xr6:coauthVersionMax="45" xr10:uidLastSave="{00000000-0000-0000-0000-000000000000}"/>
  <bookViews>
    <workbookView xWindow="6795" yWindow="540" windowWidth="16380" windowHeight="15495" activeTab="2" xr2:uid="{00000000-000D-0000-FFFF-FFFF00000000}"/>
  </bookViews>
  <sheets>
    <sheet name="П 1.3" sheetId="3" r:id="rId1"/>
    <sheet name="П 1.4" sheetId="2" r:id="rId2"/>
    <sheet name="П 1.5" sheetId="4" r:id="rId3"/>
  </sheets>
  <definedNames>
    <definedName name="_xlnm.Print_Titles" localSheetId="0">'П 1.3'!$A:$C,'П 1.3'!$5:$8</definedName>
    <definedName name="_xlnm.Print_Titles" localSheetId="1">'П 1.4'!$A:$B,'П 1.4'!$5:$8</definedName>
    <definedName name="_xlnm.Print_Titles" localSheetId="2">'П 1.5'!$A:$B,'П 1.5'!$5:$8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37" i="3" l="1"/>
  <c r="X21" i="2"/>
  <c r="Z38" i="3" l="1"/>
  <c r="Y21" i="2" l="1"/>
  <c r="AC21" i="2" s="1"/>
  <c r="Z33" i="3" l="1"/>
  <c r="Y33" i="3"/>
  <c r="AC34" i="3"/>
  <c r="AC33" i="3" s="1"/>
  <c r="Z40" i="3"/>
  <c r="AD40" i="3" s="1"/>
  <c r="Z37" i="3"/>
  <c r="AC12" i="3"/>
  <c r="AE12" i="3" s="1"/>
  <c r="Y10" i="3"/>
  <c r="AC10" i="3" s="1"/>
  <c r="AD38" i="3" l="1"/>
  <c r="AE34" i="3"/>
  <c r="F14" i="4" l="1"/>
  <c r="E18" i="4"/>
  <c r="F18" i="4"/>
  <c r="E20" i="4"/>
  <c r="X28" i="2"/>
  <c r="Y28" i="2"/>
  <c r="Y23" i="2" s="1"/>
  <c r="K23" i="2"/>
  <c r="L28" i="2"/>
  <c r="AB28" i="2" l="1"/>
  <c r="X23" i="2"/>
  <c r="X20" i="4"/>
  <c r="AB20" i="4" s="1"/>
  <c r="P28" i="2"/>
  <c r="P20" i="4" s="1"/>
  <c r="T20" i="4" s="1"/>
  <c r="S23" i="2"/>
  <c r="P23" i="2"/>
  <c r="T23" i="2" s="1"/>
  <c r="P21" i="2"/>
  <c r="O21" i="2"/>
  <c r="S21" i="2" s="1"/>
  <c r="T18" i="2"/>
  <c r="S18" i="2"/>
  <c r="U18" i="2" s="1"/>
  <c r="F21" i="2"/>
  <c r="F17" i="4" s="1"/>
  <c r="E21" i="2"/>
  <c r="E17" i="4" s="1"/>
  <c r="E9" i="2"/>
  <c r="G10" i="2"/>
  <c r="G14" i="2"/>
  <c r="G23" i="2"/>
  <c r="G28" i="2"/>
  <c r="G20" i="4" s="1"/>
  <c r="G9" i="2"/>
  <c r="K11" i="3"/>
  <c r="G21" i="2" l="1"/>
  <c r="T21" i="2"/>
  <c r="U23" i="2"/>
  <c r="T28" i="2"/>
  <c r="U28" i="2" s="1"/>
  <c r="U21" i="2" l="1"/>
  <c r="U9" i="2" l="1"/>
  <c r="S9" i="2" s="1"/>
  <c r="U14" i="2"/>
  <c r="S14" i="2" s="1"/>
  <c r="O14" i="2" s="1"/>
  <c r="S10" i="2" l="1"/>
  <c r="O10" i="2" s="1"/>
  <c r="U10" i="2" s="1"/>
  <c r="O9" i="2"/>
  <c r="AD37" i="3" l="1"/>
  <c r="AC37" i="3"/>
  <c r="AE10" i="3" l="1"/>
  <c r="L33" i="3" l="1"/>
  <c r="L38" i="3" s="1"/>
  <c r="K34" i="3"/>
  <c r="L37" i="3" l="1"/>
  <c r="M12" i="3" l="1"/>
  <c r="L52" i="3"/>
  <c r="L53" i="3"/>
  <c r="L54" i="3"/>
  <c r="L55" i="3"/>
  <c r="L51" i="3"/>
  <c r="U42" i="3" l="1"/>
  <c r="U43" i="3" s="1"/>
  <c r="T42" i="3"/>
  <c r="Q42" i="3"/>
  <c r="Q43" i="3" s="1"/>
  <c r="P42" i="3"/>
  <c r="V42" i="3" s="1"/>
  <c r="T41" i="3"/>
  <c r="P41" i="3"/>
  <c r="V40" i="3"/>
  <c r="U39" i="3"/>
  <c r="Q39" i="3"/>
  <c r="V38" i="3"/>
  <c r="U37" i="3"/>
  <c r="T37" i="3"/>
  <c r="Q37" i="3"/>
  <c r="P37" i="3"/>
  <c r="T35" i="3"/>
  <c r="P35" i="3"/>
  <c r="U33" i="3"/>
  <c r="T33" i="3"/>
  <c r="Q33" i="3"/>
  <c r="P33" i="3"/>
  <c r="V10" i="3"/>
  <c r="H37" i="3"/>
  <c r="H34" i="3"/>
  <c r="H33" i="3"/>
  <c r="H12" i="3"/>
  <c r="V39" i="3" l="1"/>
  <c r="T10" i="3"/>
  <c r="V33" i="3"/>
  <c r="V37" i="3"/>
  <c r="V35" i="3" s="1"/>
  <c r="V41" i="3"/>
  <c r="T43" i="3"/>
  <c r="T11" i="3"/>
  <c r="P10" i="3"/>
  <c r="V11" i="3" l="1"/>
  <c r="P43" i="3"/>
  <c r="V43" i="3" s="1"/>
  <c r="P11" i="3"/>
  <c r="Y20" i="4"/>
  <c r="AC20" i="4" s="1"/>
  <c r="K21" i="2"/>
  <c r="AC28" i="2" l="1"/>
  <c r="E18" i="2"/>
  <c r="E14" i="4" l="1"/>
  <c r="E10" i="4" s="1"/>
  <c r="E9" i="4" s="1"/>
  <c r="G18" i="2"/>
  <c r="AB23" i="2"/>
  <c r="AD42" i="3"/>
  <c r="AC42" i="3"/>
  <c r="Z42" i="3"/>
  <c r="Y42" i="3"/>
  <c r="AE41" i="3"/>
  <c r="AE40" i="3"/>
  <c r="AD39" i="3"/>
  <c r="AD33" i="3"/>
  <c r="Z39" i="3"/>
  <c r="AC35" i="3"/>
  <c r="Y35" i="3"/>
  <c r="AC43" i="3"/>
  <c r="AB18" i="2" s="1"/>
  <c r="Y43" i="3"/>
  <c r="X18" i="2" s="1"/>
  <c r="AE37" i="3" l="1"/>
  <c r="AC11" i="3"/>
  <c r="AE42" i="3"/>
  <c r="AB21" i="2"/>
  <c r="AC23" i="2"/>
  <c r="Z43" i="3"/>
  <c r="AE33" i="3"/>
  <c r="AE38" i="3"/>
  <c r="AE39" i="3" s="1"/>
  <c r="AD43" i="3"/>
  <c r="AC18" i="2" s="1"/>
  <c r="Y11" i="3"/>
  <c r="AE43" i="3" l="1"/>
  <c r="Y18" i="2"/>
  <c r="AD18" i="2" s="1"/>
  <c r="AE35" i="3"/>
  <c r="AE11" i="3"/>
  <c r="AD23" i="2"/>
  <c r="K35" i="3"/>
  <c r="H43" i="3" l="1"/>
  <c r="H41" i="3"/>
  <c r="H40" i="3"/>
  <c r="H38" i="3"/>
  <c r="F11" i="3"/>
  <c r="H11" i="3" s="1"/>
  <c r="H10" i="3"/>
  <c r="H42" i="3"/>
  <c r="AD20" i="4" l="1"/>
  <c r="Y18" i="4"/>
  <c r="Y17" i="4" s="1"/>
  <c r="AC17" i="4" s="1"/>
  <c r="X18" i="4"/>
  <c r="AB18" i="4" s="1"/>
  <c r="Y14" i="4"/>
  <c r="AC14" i="4" s="1"/>
  <c r="X14" i="4"/>
  <c r="AB14" i="4" s="1"/>
  <c r="O20" i="4"/>
  <c r="P18" i="4"/>
  <c r="T18" i="4" s="1"/>
  <c r="O18" i="4"/>
  <c r="P14" i="4"/>
  <c r="T14" i="4" s="1"/>
  <c r="O14" i="4"/>
  <c r="S14" i="4" s="1"/>
  <c r="AC18" i="4" l="1"/>
  <c r="X17" i="4"/>
  <c r="AB17" i="4" s="1"/>
  <c r="O9" i="4"/>
  <c r="U14" i="4"/>
  <c r="P17" i="4"/>
  <c r="T17" i="4" s="1"/>
  <c r="O17" i="4"/>
  <c r="S17" i="4" s="1"/>
  <c r="AD14" i="4"/>
  <c r="AD18" i="4"/>
  <c r="S18" i="4"/>
  <c r="U18" i="4" s="1"/>
  <c r="S20" i="4"/>
  <c r="U20" i="4" s="1"/>
  <c r="K14" i="4"/>
  <c r="J14" i="4"/>
  <c r="K17" i="4"/>
  <c r="J20" i="4"/>
  <c r="L20" i="4" s="1"/>
  <c r="J18" i="4"/>
  <c r="J21" i="2"/>
  <c r="L21" i="2" s="1"/>
  <c r="G17" i="4"/>
  <c r="G14" i="4"/>
  <c r="G10" i="4"/>
  <c r="L23" i="2"/>
  <c r="L18" i="2"/>
  <c r="U17" i="4" l="1"/>
  <c r="G9" i="4"/>
  <c r="J14" i="2"/>
  <c r="L14" i="2" s="1"/>
  <c r="L14" i="4"/>
  <c r="G18" i="4"/>
  <c r="J17" i="4"/>
  <c r="L17" i="4" s="1"/>
  <c r="AD17" i="4"/>
  <c r="O10" i="4"/>
  <c r="S10" i="4" s="1"/>
  <c r="S9" i="4"/>
  <c r="U9" i="4" s="1"/>
  <c r="U10" i="4" s="1"/>
  <c r="K18" i="4"/>
  <c r="L18" i="4" s="1"/>
  <c r="J10" i="2" l="1"/>
  <c r="L10" i="2" s="1"/>
  <c r="J10" i="4" l="1"/>
  <c r="J9" i="4" s="1"/>
  <c r="L9" i="4" s="1"/>
  <c r="J9" i="2"/>
  <c r="L9" i="2" s="1"/>
  <c r="L10" i="4" l="1"/>
  <c r="M37" i="3" l="1"/>
  <c r="M42" i="3" l="1"/>
  <c r="K33" i="3" l="1"/>
  <c r="M33" i="3" l="1"/>
  <c r="M41" i="3"/>
  <c r="M34" i="3" l="1"/>
  <c r="M40" i="3"/>
  <c r="M38" i="3" l="1"/>
  <c r="M35" i="3"/>
  <c r="M10" i="3"/>
  <c r="M11" i="3" s="1"/>
  <c r="G39" i="3" l="1"/>
  <c r="H39" i="3" s="1"/>
  <c r="F35" i="3"/>
  <c r="H35" i="3" s="1"/>
  <c r="L39" i="3" l="1"/>
  <c r="M39" i="3" s="1"/>
  <c r="M43" i="3"/>
  <c r="AD28" i="2" l="1"/>
  <c r="AD21" i="2" s="1"/>
  <c r="AD14" i="2" l="1"/>
  <c r="AB14" i="2" s="1"/>
  <c r="X14" i="2" s="1"/>
  <c r="AD9" i="2"/>
  <c r="AB9" i="2" s="1"/>
  <c r="AB10" i="2" l="1"/>
  <c r="X10" i="2" s="1"/>
  <c r="AD10" i="2" s="1"/>
  <c r="X9" i="2"/>
  <c r="X9" i="4" s="1"/>
  <c r="AB9" i="4" l="1"/>
  <c r="AD9" i="4" s="1"/>
  <c r="AD10" i="4" s="1"/>
  <c r="X10" i="4"/>
  <c r="AB10" i="4" s="1"/>
</calcChain>
</file>

<file path=xl/sharedStrings.xml><?xml version="1.0" encoding="utf-8"?>
<sst xmlns="http://schemas.openxmlformats.org/spreadsheetml/2006/main" count="283" uniqueCount="117">
  <si>
    <t>млн. кВт.ч</t>
  </si>
  <si>
    <t>Показатели</t>
  </si>
  <si>
    <t>1.</t>
  </si>
  <si>
    <t>2.</t>
  </si>
  <si>
    <t>3.</t>
  </si>
  <si>
    <t>4.</t>
  </si>
  <si>
    <t>Расход электроэнергии на производственные и хозяйственные нужды</t>
  </si>
  <si>
    <t>№
п/п</t>
  </si>
  <si>
    <t>Всего</t>
  </si>
  <si>
    <t>ВН</t>
  </si>
  <si>
    <t>СН1</t>
  </si>
  <si>
    <t>СН11</t>
  </si>
  <si>
    <t>НН</t>
  </si>
  <si>
    <t>Поступление эл. энергии в сеть, ВСЕГО</t>
  </si>
  <si>
    <t>1.1.</t>
  </si>
  <si>
    <t>из смежной сети, всего</t>
  </si>
  <si>
    <t>в том числе из сети</t>
  </si>
  <si>
    <t>1.2.</t>
  </si>
  <si>
    <t>от электростанций ПЭ (ЭСО)</t>
  </si>
  <si>
    <t>1.3.</t>
  </si>
  <si>
    <t>от других поставщиков (в т.ч. с оптового рынка)</t>
  </si>
  <si>
    <t>1.4.</t>
  </si>
  <si>
    <t>поступление эл. энергии от других организаций</t>
  </si>
  <si>
    <t>Потери электроэнергии в сети</t>
  </si>
  <si>
    <t>Полезный отпуск из сети</t>
  </si>
  <si>
    <t>в т.ч.</t>
  </si>
  <si>
    <t>4.1.</t>
  </si>
  <si>
    <t>собственным потребителям ЭСО</t>
  </si>
  <si>
    <t>из них:</t>
  </si>
  <si>
    <t>потребителям, присоединенным к центру питания</t>
  </si>
  <si>
    <t>на генераторном напряжении</t>
  </si>
  <si>
    <t>4.2.</t>
  </si>
  <si>
    <t>потребителям оптового рынка</t>
  </si>
  <si>
    <t>4.3.</t>
  </si>
  <si>
    <t>сальдо переток в другие организации</t>
  </si>
  <si>
    <r>
      <t>то же в % (</t>
    </r>
    <r>
      <rPr>
        <sz val="12"/>
        <color rgb="FF0000FF"/>
        <rFont val="Times New Roman"/>
        <family val="1"/>
        <charset val="204"/>
      </rPr>
      <t>п. 1.1</t>
    </r>
    <r>
      <rPr>
        <sz val="12"/>
        <color theme="1"/>
        <rFont val="Times New Roman"/>
        <family val="1"/>
        <charset val="204"/>
      </rPr>
      <t>/</t>
    </r>
    <r>
      <rPr>
        <sz val="12"/>
        <color rgb="FF0000FF"/>
        <rFont val="Times New Roman"/>
        <family val="1"/>
        <charset val="204"/>
      </rPr>
      <t>п. 1.3</t>
    </r>
    <r>
      <rPr>
        <sz val="12"/>
        <color theme="1"/>
        <rFont val="Times New Roman"/>
        <family val="1"/>
        <charset val="204"/>
      </rPr>
      <t>)</t>
    </r>
  </si>
  <si>
    <t>Баланс электрической энергии по сетям ВН, СН1, СН11 и НН</t>
  </si>
  <si>
    <t>Таблица № П 1.4</t>
  </si>
  <si>
    <t>Ед. изм.</t>
  </si>
  <si>
    <t>Технические потери</t>
  </si>
  <si>
    <t>а</t>
  </si>
  <si>
    <t>Норматив потерь</t>
  </si>
  <si>
    <t>кВт/МВА</t>
  </si>
  <si>
    <t>б</t>
  </si>
  <si>
    <t>Суммарная мощность трансформаторов</t>
  </si>
  <si>
    <t>МВА</t>
  </si>
  <si>
    <t>в</t>
  </si>
  <si>
    <t>Продолжительность периода</t>
  </si>
  <si>
    <t>час</t>
  </si>
  <si>
    <t>тыс. кВт.ч в год/шт.</t>
  </si>
  <si>
    <t>Количество</t>
  </si>
  <si>
    <t>шт.</t>
  </si>
  <si>
    <t>Потери в синхронных компенсаторах (СК)</t>
  </si>
  <si>
    <t>1.4.1.</t>
  </si>
  <si>
    <t>1.4.2.</t>
  </si>
  <si>
    <t>1.4.3.</t>
  </si>
  <si>
    <t>...</t>
  </si>
  <si>
    <t>1.5.</t>
  </si>
  <si>
    <t>Потери электрической энергии на корону, всего</t>
  </si>
  <si>
    <t>1.5.1.</t>
  </si>
  <si>
    <t>млн. кВт.ч в год/км</t>
  </si>
  <si>
    <t>Протяженность линий</t>
  </si>
  <si>
    <t>км</t>
  </si>
  <si>
    <t>1.5.2.</t>
  </si>
  <si>
    <t>1.6.</t>
  </si>
  <si>
    <t>Нагрузочные потери, всего</t>
  </si>
  <si>
    <t>1.6.1.</t>
  </si>
  <si>
    <t>%</t>
  </si>
  <si>
    <t>Поправочный коэффициент</t>
  </si>
  <si>
    <t>Отпуск в сеть ВН, СН1 и СН11</t>
  </si>
  <si>
    <t>1.6.2.</t>
  </si>
  <si>
    <t>тыс. кВт.ч в год/км</t>
  </si>
  <si>
    <t>Протяженность линий 0,4 кВ</t>
  </si>
  <si>
    <t>Расход электроэнергии на собственные нужды подстанций</t>
  </si>
  <si>
    <t>Потери, обусловленные погрешностями приборов учета</t>
  </si>
  <si>
    <t>Итого</t>
  </si>
  <si>
    <r>
      <t xml:space="preserve">Потери холостого хода в трансформаторах </t>
    </r>
    <r>
      <rPr>
        <sz val="12"/>
        <color rgb="FF0000FF"/>
        <rFont val="Times New Roman"/>
        <family val="1"/>
        <charset val="204"/>
      </rPr>
      <t>(а</t>
    </r>
    <r>
      <rPr>
        <sz val="12"/>
        <color theme="1"/>
        <rFont val="Times New Roman"/>
        <family val="1"/>
        <charset val="204"/>
      </rPr>
      <t xml:space="preserve"> х </t>
    </r>
    <r>
      <rPr>
        <sz val="12"/>
        <color rgb="FF0000FF"/>
        <rFont val="Times New Roman"/>
        <family val="1"/>
        <charset val="204"/>
      </rPr>
      <t>б</t>
    </r>
    <r>
      <rPr>
        <sz val="12"/>
        <color theme="1"/>
        <rFont val="Times New Roman"/>
        <family val="1"/>
        <charset val="204"/>
      </rPr>
      <t xml:space="preserve"> х </t>
    </r>
    <r>
      <rPr>
        <sz val="12"/>
        <color rgb="FF0000FF"/>
        <rFont val="Times New Roman"/>
        <family val="1"/>
        <charset val="204"/>
      </rPr>
      <t>в)</t>
    </r>
  </si>
  <si>
    <r>
      <t xml:space="preserve">Потери в БСК и СТК </t>
    </r>
    <r>
      <rPr>
        <sz val="12"/>
        <color rgb="FF0000FF"/>
        <rFont val="Times New Roman"/>
        <family val="1"/>
        <charset val="204"/>
      </rPr>
      <t>(а</t>
    </r>
    <r>
      <rPr>
        <sz val="12"/>
        <color theme="1"/>
        <rFont val="Times New Roman"/>
        <family val="1"/>
        <charset val="204"/>
      </rPr>
      <t xml:space="preserve"> х </t>
    </r>
    <r>
      <rPr>
        <sz val="12"/>
        <color rgb="FF0000FF"/>
        <rFont val="Times New Roman"/>
        <family val="1"/>
        <charset val="204"/>
      </rPr>
      <t>б)</t>
    </r>
  </si>
  <si>
    <r>
      <t xml:space="preserve">Потери в шунтирующих реакторах </t>
    </r>
    <r>
      <rPr>
        <sz val="12"/>
        <color rgb="FF0000FF"/>
        <rFont val="Times New Roman"/>
        <family val="1"/>
        <charset val="204"/>
      </rPr>
      <t>(а</t>
    </r>
    <r>
      <rPr>
        <sz val="12"/>
        <color theme="1"/>
        <rFont val="Times New Roman"/>
        <family val="1"/>
        <charset val="204"/>
      </rPr>
      <t xml:space="preserve"> х </t>
    </r>
    <r>
      <rPr>
        <sz val="12"/>
        <color rgb="FF0000FF"/>
        <rFont val="Times New Roman"/>
        <family val="1"/>
        <charset val="204"/>
      </rPr>
      <t>б)</t>
    </r>
  </si>
  <si>
    <r>
      <t xml:space="preserve">Потери в СК номинальной мощностью ____ Мвар </t>
    </r>
    <r>
      <rPr>
        <sz val="12"/>
        <color rgb="FF0000FF"/>
        <rFont val="Times New Roman"/>
        <family val="1"/>
        <charset val="204"/>
      </rPr>
      <t>(а</t>
    </r>
    <r>
      <rPr>
        <sz val="12"/>
        <color theme="1"/>
        <rFont val="Times New Roman"/>
        <family val="1"/>
        <charset val="204"/>
      </rPr>
      <t xml:space="preserve"> х </t>
    </r>
    <r>
      <rPr>
        <sz val="12"/>
        <color rgb="FF0000FF"/>
        <rFont val="Times New Roman"/>
        <family val="1"/>
        <charset val="204"/>
      </rPr>
      <t>б)</t>
    </r>
  </si>
  <si>
    <r>
      <t xml:space="preserve">Потери на корону в линиях напряжением ___ кВ </t>
    </r>
    <r>
      <rPr>
        <sz val="12"/>
        <color rgb="FF0000FF"/>
        <rFont val="Times New Roman"/>
        <family val="1"/>
        <charset val="204"/>
      </rPr>
      <t>(а</t>
    </r>
    <r>
      <rPr>
        <sz val="12"/>
        <color theme="1"/>
        <rFont val="Times New Roman"/>
        <family val="1"/>
        <charset val="204"/>
      </rPr>
      <t xml:space="preserve"> х </t>
    </r>
    <r>
      <rPr>
        <sz val="12"/>
        <color rgb="FF0000FF"/>
        <rFont val="Times New Roman"/>
        <family val="1"/>
        <charset val="204"/>
      </rPr>
      <t>б)</t>
    </r>
  </si>
  <si>
    <r>
      <t xml:space="preserve">Нагрузочные потери в сети ВН, СН1, СН11 </t>
    </r>
    <r>
      <rPr>
        <sz val="12"/>
        <color rgb="FF0000FF"/>
        <rFont val="Times New Roman"/>
        <family val="1"/>
        <charset val="204"/>
      </rPr>
      <t>(а</t>
    </r>
    <r>
      <rPr>
        <sz val="12"/>
        <color theme="1"/>
        <rFont val="Times New Roman"/>
        <family val="1"/>
        <charset val="204"/>
      </rPr>
      <t xml:space="preserve"> х </t>
    </r>
    <r>
      <rPr>
        <sz val="12"/>
        <color rgb="FF0000FF"/>
        <rFont val="Times New Roman"/>
        <family val="1"/>
        <charset val="204"/>
      </rPr>
      <t>б</t>
    </r>
    <r>
      <rPr>
        <sz val="12"/>
        <color theme="1"/>
        <rFont val="Times New Roman"/>
        <family val="1"/>
        <charset val="204"/>
      </rPr>
      <t xml:space="preserve"> х </t>
    </r>
    <r>
      <rPr>
        <sz val="12"/>
        <color rgb="FF0000FF"/>
        <rFont val="Times New Roman"/>
        <family val="1"/>
        <charset val="204"/>
      </rPr>
      <t>в)</t>
    </r>
  </si>
  <si>
    <r>
      <t xml:space="preserve">Нагрузочные потери в сети НН </t>
    </r>
    <r>
      <rPr>
        <sz val="12"/>
        <color rgb="FF0000FF"/>
        <rFont val="Times New Roman"/>
        <family val="1"/>
        <charset val="204"/>
      </rPr>
      <t>(а</t>
    </r>
    <r>
      <rPr>
        <sz val="12"/>
        <color theme="1"/>
        <rFont val="Times New Roman"/>
        <family val="1"/>
        <charset val="204"/>
      </rPr>
      <t xml:space="preserve"> х </t>
    </r>
    <r>
      <rPr>
        <sz val="12"/>
        <color rgb="FF0000FF"/>
        <rFont val="Times New Roman"/>
        <family val="1"/>
        <charset val="204"/>
      </rPr>
      <t>б)</t>
    </r>
  </si>
  <si>
    <t>Электрическая мощность по диапазонам напряжения ЭСО</t>
  </si>
  <si>
    <t>Поступление мощности в сеть, ВСЕГО</t>
  </si>
  <si>
    <t>из смежной сети</t>
  </si>
  <si>
    <t>от электростанций ПЭ</t>
  </si>
  <si>
    <t>от других организаций</t>
  </si>
  <si>
    <t>Потери в сети</t>
  </si>
  <si>
    <t>то же в %</t>
  </si>
  <si>
    <t>Мощность на производственные и хозяйственные нужды</t>
  </si>
  <si>
    <t>Полезный отпуск мощности потребителям</t>
  </si>
  <si>
    <t>Заявленная (расчетная) мощность собственных потребителей, пользующихся региональными электрическими сетями</t>
  </si>
  <si>
    <t>Заявленная (расчетная) мощность потребителей оптового рынка</t>
  </si>
  <si>
    <t>в другие организации</t>
  </si>
  <si>
    <t>Таблица № П 1.5</t>
  </si>
  <si>
    <t>За первое полугодие</t>
  </si>
  <si>
    <t>За второе полугодие</t>
  </si>
  <si>
    <t>План</t>
  </si>
  <si>
    <t>Факт</t>
  </si>
  <si>
    <t xml:space="preserve">Расчет технологического расхода электрической энергии (потерь) в электрических сетях </t>
  </si>
  <si>
    <t>План 2023г.</t>
  </si>
  <si>
    <t>План 2023 г.</t>
  </si>
  <si>
    <t>2023 г. (План)</t>
  </si>
  <si>
    <t>ООО "НРСК-СИБИРЬ" за 2022-2024 гг.</t>
  </si>
  <si>
    <t>2022 г.</t>
  </si>
  <si>
    <t>План 2024г.</t>
  </si>
  <si>
    <t>расчет потерь холостого хода</t>
  </si>
  <si>
    <t>кВА</t>
  </si>
  <si>
    <t>к-во</t>
  </si>
  <si>
    <t>Рхх, Вт</t>
  </si>
  <si>
    <t>за год, кВт</t>
  </si>
  <si>
    <t>План 2024 г.</t>
  </si>
  <si>
    <t>2022г</t>
  </si>
  <si>
    <t>ООО "НРСК-СИБИРЬ" на 2022-2024 годы</t>
  </si>
  <si>
    <t xml:space="preserve">2022 г. </t>
  </si>
  <si>
    <t>2024 г. (План)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</si>
</sst>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164" fontId="1" fillId="0" borderId="0" xfId="0" applyNumberFormat="1" applyFont="1"/>
    <xf numFmtId="164" fontId="1" fillId="0" borderId="1" xfId="0" applyNumberFormat="1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9" xfId="0" applyNumberFormat="1" applyFont="1" applyBorder="1" applyAlignment="1">
      <alignment horizontal="center" vertical="center"/>
    </xf>
    <xf numFmtId="165" fontId="1" fillId="0" borderId="5" xfId="0" applyNumberFormat="1" applyFont="1" applyFill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/>
    <xf numFmtId="2" fontId="1" fillId="0" borderId="6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8" xfId="0" applyFont="1" applyFill="1" applyBorder="1"/>
    <xf numFmtId="164" fontId="1" fillId="0" borderId="8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justify" vertical="center" wrapText="1"/>
    </xf>
    <xf numFmtId="0" fontId="1" fillId="0" borderId="23" xfId="0" applyFont="1" applyFill="1" applyBorder="1" applyAlignment="1">
      <alignment horizontal="justify"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justify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7" xfId="0" applyFont="1" applyFill="1" applyBorder="1" applyAlignment="1">
      <alignment horizontal="justify" vertical="center" wrapText="1"/>
    </xf>
    <xf numFmtId="164" fontId="1" fillId="0" borderId="8" xfId="0" applyNumberFormat="1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justify" vertical="center" wrapText="1"/>
    </xf>
    <xf numFmtId="164" fontId="1" fillId="0" borderId="2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F55"/>
  <sheetViews>
    <sheetView zoomScaleNormal="100" workbookViewId="0">
      <pane xSplit="3" ySplit="8" topLeftCell="M33" activePane="bottomRight" state="frozen"/>
      <selection pane="topRight" activeCell="D1" sqref="D1"/>
      <selection pane="bottomLeft" activeCell="A8" sqref="A8"/>
      <selection pane="bottomRight" activeCell="Y35" sqref="Y35"/>
    </sheetView>
  </sheetViews>
  <sheetFormatPr defaultRowHeight="15.75" x14ac:dyDescent="0.25"/>
  <cols>
    <col min="1" max="1" width="6.140625" style="3" bestFit="1" customWidth="1"/>
    <col min="2" max="2" width="60.5703125" style="3" bestFit="1" customWidth="1"/>
    <col min="3" max="3" width="12.85546875" style="3" bestFit="1" customWidth="1"/>
    <col min="4" max="5" width="7.5703125" style="3" customWidth="1"/>
    <col min="6" max="6" width="9.28515625" style="3" customWidth="1"/>
    <col min="7" max="7" width="7.5703125" style="3" customWidth="1"/>
    <col min="8" max="8" width="10" style="3" customWidth="1"/>
    <col min="9" max="10" width="7.5703125" style="3" customWidth="1"/>
    <col min="11" max="11" width="9.85546875" style="3" customWidth="1"/>
    <col min="12" max="12" width="9.42578125" style="3" customWidth="1"/>
    <col min="13" max="13" width="9" style="3" customWidth="1"/>
    <col min="14" max="15" width="9.140625" style="3"/>
    <col min="16" max="16" width="9.5703125" style="3" bestFit="1" customWidth="1"/>
    <col min="17" max="19" width="9.140625" style="3"/>
    <col min="20" max="20" width="9.5703125" style="3" bestFit="1" customWidth="1"/>
    <col min="21" max="21" width="9.140625" style="3"/>
    <col min="22" max="22" width="10.7109375" style="3" bestFit="1" customWidth="1"/>
    <col min="23" max="16384" width="9.140625" style="3"/>
  </cols>
  <sheetData>
    <row r="1" spans="1:31" x14ac:dyDescent="0.25">
      <c r="V1" s="4"/>
    </row>
    <row r="2" spans="1:31" ht="16.5" customHeight="1" x14ac:dyDescent="0.35">
      <c r="A2" s="127"/>
      <c r="B2" s="127"/>
      <c r="C2" s="127"/>
      <c r="D2" s="67" t="s">
        <v>100</v>
      </c>
      <c r="E2" s="67"/>
      <c r="F2" s="67"/>
      <c r="G2" s="67"/>
      <c r="H2" s="67"/>
      <c r="I2" s="67"/>
      <c r="J2" s="67"/>
      <c r="K2" s="67"/>
      <c r="L2" s="67"/>
      <c r="M2" s="67"/>
      <c r="N2" s="66"/>
      <c r="O2" s="66"/>
    </row>
    <row r="3" spans="1:31" ht="17.25" customHeight="1" x14ac:dyDescent="0.35">
      <c r="A3" s="127"/>
      <c r="B3" s="127"/>
      <c r="C3" s="127"/>
      <c r="D3" s="67" t="s">
        <v>104</v>
      </c>
      <c r="E3" s="67"/>
      <c r="F3" s="67"/>
      <c r="G3" s="67"/>
      <c r="H3" s="67"/>
      <c r="I3" s="67"/>
      <c r="J3" s="67"/>
      <c r="K3" s="67"/>
      <c r="L3" s="67"/>
      <c r="M3" s="67"/>
      <c r="N3" s="66"/>
      <c r="O3" s="66"/>
    </row>
    <row r="4" spans="1:31" ht="16.5" thickBot="1" x14ac:dyDescent="0.3"/>
    <row r="5" spans="1:31" ht="15.75" customHeight="1" x14ac:dyDescent="0.25">
      <c r="A5" s="133" t="s">
        <v>7</v>
      </c>
      <c r="B5" s="131" t="s">
        <v>1</v>
      </c>
      <c r="C5" s="136" t="s">
        <v>38</v>
      </c>
      <c r="D5" s="139" t="s">
        <v>105</v>
      </c>
      <c r="E5" s="140"/>
      <c r="F5" s="140"/>
      <c r="G5" s="140"/>
      <c r="H5" s="140"/>
      <c r="I5" s="140"/>
      <c r="J5" s="140"/>
      <c r="K5" s="140"/>
      <c r="L5" s="140"/>
      <c r="M5" s="141"/>
      <c r="N5" s="133" t="s">
        <v>101</v>
      </c>
      <c r="O5" s="131"/>
      <c r="P5" s="131"/>
      <c r="Q5" s="131"/>
      <c r="R5" s="131"/>
      <c r="S5" s="131"/>
      <c r="T5" s="131"/>
      <c r="U5" s="131"/>
      <c r="V5" s="136"/>
      <c r="W5" s="130" t="s">
        <v>106</v>
      </c>
      <c r="X5" s="131"/>
      <c r="Y5" s="131"/>
      <c r="Z5" s="131"/>
      <c r="AA5" s="131"/>
      <c r="AB5" s="131"/>
      <c r="AC5" s="131"/>
      <c r="AD5" s="131"/>
      <c r="AE5" s="131"/>
    </row>
    <row r="6" spans="1:31" ht="15.75" customHeight="1" x14ac:dyDescent="0.25">
      <c r="A6" s="128"/>
      <c r="B6" s="129"/>
      <c r="C6" s="137"/>
      <c r="D6" s="128" t="s">
        <v>98</v>
      </c>
      <c r="E6" s="129"/>
      <c r="F6" s="129"/>
      <c r="G6" s="129"/>
      <c r="H6" s="129"/>
      <c r="I6" s="142" t="s">
        <v>99</v>
      </c>
      <c r="J6" s="142"/>
      <c r="K6" s="142"/>
      <c r="L6" s="142"/>
      <c r="M6" s="143"/>
      <c r="N6" s="128" t="s">
        <v>96</v>
      </c>
      <c r="O6" s="129"/>
      <c r="P6" s="129"/>
      <c r="Q6" s="129"/>
      <c r="R6" s="129" t="s">
        <v>97</v>
      </c>
      <c r="S6" s="129"/>
      <c r="T6" s="129"/>
      <c r="U6" s="129"/>
      <c r="V6" s="57"/>
      <c r="W6" s="132" t="s">
        <v>96</v>
      </c>
      <c r="X6" s="129"/>
      <c r="Y6" s="129"/>
      <c r="Z6" s="129"/>
      <c r="AA6" s="129" t="s">
        <v>97</v>
      </c>
      <c r="AB6" s="129"/>
      <c r="AC6" s="129"/>
      <c r="AD6" s="129"/>
      <c r="AE6" s="11"/>
    </row>
    <row r="7" spans="1:31" ht="16.5" thickBot="1" x14ac:dyDescent="0.3">
      <c r="A7" s="134"/>
      <c r="B7" s="135"/>
      <c r="C7" s="138"/>
      <c r="D7" s="54" t="s">
        <v>9</v>
      </c>
      <c r="E7" s="20" t="s">
        <v>10</v>
      </c>
      <c r="F7" s="20" t="s">
        <v>11</v>
      </c>
      <c r="G7" s="20" t="s">
        <v>12</v>
      </c>
      <c r="H7" s="20" t="s">
        <v>8</v>
      </c>
      <c r="I7" s="20" t="s">
        <v>9</v>
      </c>
      <c r="J7" s="20" t="s">
        <v>10</v>
      </c>
      <c r="K7" s="20" t="s">
        <v>11</v>
      </c>
      <c r="L7" s="20" t="s">
        <v>12</v>
      </c>
      <c r="M7" s="56" t="s">
        <v>8</v>
      </c>
      <c r="N7" s="54" t="s">
        <v>9</v>
      </c>
      <c r="O7" s="20" t="s">
        <v>10</v>
      </c>
      <c r="P7" s="20" t="s">
        <v>11</v>
      </c>
      <c r="Q7" s="20" t="s">
        <v>12</v>
      </c>
      <c r="R7" s="20" t="s">
        <v>9</v>
      </c>
      <c r="S7" s="20" t="s">
        <v>10</v>
      </c>
      <c r="T7" s="20" t="s">
        <v>11</v>
      </c>
      <c r="U7" s="20" t="s">
        <v>12</v>
      </c>
      <c r="V7" s="56" t="s">
        <v>8</v>
      </c>
      <c r="W7" s="61" t="s">
        <v>9</v>
      </c>
      <c r="X7" s="20" t="s">
        <v>10</v>
      </c>
      <c r="Y7" s="20" t="s">
        <v>11</v>
      </c>
      <c r="Z7" s="20" t="s">
        <v>12</v>
      </c>
      <c r="AA7" s="20" t="s">
        <v>9</v>
      </c>
      <c r="AB7" s="20" t="s">
        <v>10</v>
      </c>
      <c r="AC7" s="20" t="s">
        <v>11</v>
      </c>
      <c r="AD7" s="20" t="s">
        <v>12</v>
      </c>
      <c r="AE7" s="20" t="s">
        <v>8</v>
      </c>
    </row>
    <row r="8" spans="1:31" x14ac:dyDescent="0.25">
      <c r="A8" s="43">
        <v>1</v>
      </c>
      <c r="B8" s="45">
        <v>2</v>
      </c>
      <c r="C8" s="44">
        <v>3</v>
      </c>
      <c r="D8" s="72">
        <v>4</v>
      </c>
      <c r="E8" s="68">
        <v>5</v>
      </c>
      <c r="F8" s="68">
        <v>6</v>
      </c>
      <c r="G8" s="68">
        <v>7</v>
      </c>
      <c r="H8" s="102">
        <v>8</v>
      </c>
      <c r="I8" s="108">
        <v>9</v>
      </c>
      <c r="J8" s="109">
        <v>10</v>
      </c>
      <c r="K8" s="109">
        <v>11</v>
      </c>
      <c r="L8" s="109">
        <v>12</v>
      </c>
      <c r="M8" s="110">
        <v>13</v>
      </c>
      <c r="N8" s="43">
        <v>23</v>
      </c>
      <c r="O8" s="45">
        <v>24</v>
      </c>
      <c r="P8" s="45">
        <v>25</v>
      </c>
      <c r="Q8" s="45">
        <v>26</v>
      </c>
      <c r="R8" s="45">
        <v>27</v>
      </c>
      <c r="S8" s="45">
        <v>28</v>
      </c>
      <c r="T8" s="45">
        <v>29</v>
      </c>
      <c r="U8" s="45">
        <v>30</v>
      </c>
      <c r="V8" s="44">
        <v>31</v>
      </c>
      <c r="W8" s="100">
        <v>32</v>
      </c>
      <c r="X8" s="99">
        <v>33</v>
      </c>
      <c r="Y8" s="99">
        <v>34</v>
      </c>
      <c r="Z8" s="99">
        <v>35</v>
      </c>
      <c r="AA8" s="99">
        <v>36</v>
      </c>
      <c r="AB8" s="99">
        <v>37</v>
      </c>
      <c r="AC8" s="99">
        <v>38</v>
      </c>
      <c r="AD8" s="99">
        <v>39</v>
      </c>
      <c r="AE8" s="101">
        <v>40</v>
      </c>
    </row>
    <row r="9" spans="1:31" x14ac:dyDescent="0.25">
      <c r="A9" s="53" t="s">
        <v>2</v>
      </c>
      <c r="B9" s="1" t="s">
        <v>39</v>
      </c>
      <c r="C9" s="55" t="s">
        <v>0</v>
      </c>
      <c r="D9" s="71"/>
      <c r="E9" s="70"/>
      <c r="F9" s="70"/>
      <c r="G9" s="70"/>
      <c r="H9" s="103"/>
      <c r="I9" s="33"/>
      <c r="J9" s="75"/>
      <c r="K9" s="75"/>
      <c r="L9" s="75"/>
      <c r="M9" s="32"/>
      <c r="N9" s="90"/>
      <c r="O9" s="91"/>
      <c r="P9" s="91"/>
      <c r="Q9" s="91"/>
      <c r="R9" s="91"/>
      <c r="S9" s="91"/>
      <c r="T9" s="91"/>
      <c r="U9" s="91"/>
      <c r="V9" s="95"/>
      <c r="W9" s="117"/>
      <c r="X9" s="118"/>
      <c r="Y9" s="118"/>
      <c r="Z9" s="118"/>
      <c r="AA9" s="118"/>
      <c r="AB9" s="118"/>
      <c r="AC9" s="118"/>
      <c r="AD9" s="118"/>
      <c r="AE9" s="32"/>
    </row>
    <row r="10" spans="1:31" x14ac:dyDescent="0.25">
      <c r="A10" s="53" t="s">
        <v>14</v>
      </c>
      <c r="B10" s="2" t="s">
        <v>76</v>
      </c>
      <c r="C10" s="55" t="s">
        <v>0</v>
      </c>
      <c r="D10" s="71"/>
      <c r="E10" s="70"/>
      <c r="F10" s="70">
        <v>0.16600000000000001</v>
      </c>
      <c r="G10" s="70"/>
      <c r="H10" s="104">
        <f>SUM(D10:G10)</f>
        <v>0.16600000000000001</v>
      </c>
      <c r="I10" s="33"/>
      <c r="J10" s="75"/>
      <c r="K10" s="10">
        <v>0.33427200000000001</v>
      </c>
      <c r="L10" s="75"/>
      <c r="M10" s="37">
        <f>K10</f>
        <v>0.33427200000000001</v>
      </c>
      <c r="N10" s="90"/>
      <c r="O10" s="91"/>
      <c r="P10" s="6">
        <f>V10/2</f>
        <v>0.222196</v>
      </c>
      <c r="Q10" s="6"/>
      <c r="R10" s="6"/>
      <c r="S10" s="6"/>
      <c r="T10" s="6">
        <f>V10/2</f>
        <v>0.222196</v>
      </c>
      <c r="U10" s="6"/>
      <c r="V10" s="17">
        <f>0.324986+0.049406+0.07</f>
        <v>0.44439200000000001</v>
      </c>
      <c r="W10" s="117"/>
      <c r="X10" s="118"/>
      <c r="Y10" s="10">
        <f>0.338607288+0.3069/2</f>
        <v>0.49205728800000004</v>
      </c>
      <c r="Z10" s="10"/>
      <c r="AA10" s="10"/>
      <c r="AB10" s="10"/>
      <c r="AC10" s="10">
        <f>Y10</f>
        <v>0.49205728800000004</v>
      </c>
      <c r="AD10" s="10"/>
      <c r="AE10" s="37">
        <f>Y10+AC10</f>
        <v>0.98411457600000007</v>
      </c>
    </row>
    <row r="11" spans="1:31" x14ac:dyDescent="0.25">
      <c r="A11" s="53" t="s">
        <v>40</v>
      </c>
      <c r="B11" s="1" t="s">
        <v>41</v>
      </c>
      <c r="C11" s="55" t="s">
        <v>42</v>
      </c>
      <c r="D11" s="71"/>
      <c r="E11" s="70"/>
      <c r="F11" s="7">
        <f>F10/(D37+F37)*100</f>
        <v>15.601503759398497</v>
      </c>
      <c r="G11" s="5"/>
      <c r="H11" s="105">
        <f t="shared" ref="H11" si="0">SUM(D11:G11)</f>
        <v>15.601503759398497</v>
      </c>
      <c r="I11" s="111"/>
      <c r="J11" s="7"/>
      <c r="K11" s="105">
        <f>K10*1000000/K12/8760</f>
        <v>1.572266341557027</v>
      </c>
      <c r="L11" s="7"/>
      <c r="M11" s="105">
        <f>M10*1000000/M12/8760</f>
        <v>1.572266341557027</v>
      </c>
      <c r="N11" s="33"/>
      <c r="O11" s="75"/>
      <c r="P11" s="7">
        <f>P10/P37*100</f>
        <v>47.08974020703328</v>
      </c>
      <c r="Q11" s="75"/>
      <c r="R11" s="75"/>
      <c r="S11" s="75"/>
      <c r="T11" s="7">
        <f>T10/T37*100</f>
        <v>47.08974020703328</v>
      </c>
      <c r="U11" s="7"/>
      <c r="V11" s="7">
        <f t="shared" ref="V11" si="1">V10/V37*100</f>
        <v>3.6894499839310098</v>
      </c>
      <c r="W11" s="117"/>
      <c r="X11" s="118"/>
      <c r="Y11" s="7">
        <f>Y10/Y37*100</f>
        <v>4.8754747386673278</v>
      </c>
      <c r="Z11" s="118"/>
      <c r="AA11" s="118"/>
      <c r="AB11" s="118"/>
      <c r="AC11" s="7">
        <f>AC10/AC37*100</f>
        <v>4.8754747386673278</v>
      </c>
      <c r="AD11" s="7"/>
      <c r="AE11" s="58">
        <f t="shared" ref="AE11" si="2">AE10/AE37*100</f>
        <v>1.7850475703324808</v>
      </c>
    </row>
    <row r="12" spans="1:31" x14ac:dyDescent="0.25">
      <c r="A12" s="53" t="s">
        <v>43</v>
      </c>
      <c r="B12" s="2" t="s">
        <v>44</v>
      </c>
      <c r="C12" s="55" t="s">
        <v>45</v>
      </c>
      <c r="D12" s="71"/>
      <c r="E12" s="70"/>
      <c r="F12" s="75">
        <v>24.27</v>
      </c>
      <c r="G12" s="75"/>
      <c r="H12" s="103">
        <f>SUM(D12:G12)</f>
        <v>24.27</v>
      </c>
      <c r="I12" s="33"/>
      <c r="J12" s="75"/>
      <c r="K12" s="75">
        <v>24.27</v>
      </c>
      <c r="L12" s="75"/>
      <c r="M12" s="32">
        <f>K12</f>
        <v>24.27</v>
      </c>
      <c r="N12" s="90"/>
      <c r="O12" s="91"/>
      <c r="P12" s="91">
        <v>30.91</v>
      </c>
      <c r="Q12" s="91"/>
      <c r="R12" s="91"/>
      <c r="S12" s="91"/>
      <c r="T12" s="91">
        <v>30.91</v>
      </c>
      <c r="U12" s="92"/>
      <c r="V12" s="95">
        <v>30.91</v>
      </c>
      <c r="W12" s="117"/>
      <c r="X12" s="118"/>
      <c r="Y12" s="118">
        <v>67.09</v>
      </c>
      <c r="Z12" s="118"/>
      <c r="AA12" s="118"/>
      <c r="AB12" s="118"/>
      <c r="AC12" s="118">
        <f>Y12</f>
        <v>67.09</v>
      </c>
      <c r="AD12" s="78"/>
      <c r="AE12" s="32">
        <f>AC12</f>
        <v>67.09</v>
      </c>
    </row>
    <row r="13" spans="1:31" x14ac:dyDescent="0.25">
      <c r="A13" s="53" t="s">
        <v>46</v>
      </c>
      <c r="B13" s="1" t="s">
        <v>47</v>
      </c>
      <c r="C13" s="55" t="s">
        <v>48</v>
      </c>
      <c r="D13" s="71"/>
      <c r="E13" s="70"/>
      <c r="F13" s="70">
        <v>8760</v>
      </c>
      <c r="G13" s="70"/>
      <c r="H13" s="96">
        <v>8760</v>
      </c>
      <c r="I13" s="33"/>
      <c r="J13" s="75"/>
      <c r="K13" s="75">
        <v>8760</v>
      </c>
      <c r="L13" s="75"/>
      <c r="M13" s="32">
        <v>8760</v>
      </c>
      <c r="N13" s="90"/>
      <c r="O13" s="91"/>
      <c r="P13" s="91">
        <v>4380</v>
      </c>
      <c r="Q13" s="91"/>
      <c r="R13" s="91"/>
      <c r="S13" s="91"/>
      <c r="T13" s="91">
        <v>4380</v>
      </c>
      <c r="U13" s="91"/>
      <c r="V13" s="95">
        <v>8760</v>
      </c>
      <c r="W13" s="117"/>
      <c r="X13" s="118"/>
      <c r="Y13" s="118">
        <v>4380</v>
      </c>
      <c r="Z13" s="118"/>
      <c r="AA13" s="118"/>
      <c r="AB13" s="118"/>
      <c r="AC13" s="118">
        <v>4380</v>
      </c>
      <c r="AD13" s="118"/>
      <c r="AE13" s="32">
        <v>8760</v>
      </c>
    </row>
    <row r="14" spans="1:31" x14ac:dyDescent="0.25">
      <c r="A14" s="53" t="s">
        <v>17</v>
      </c>
      <c r="B14" s="1" t="s">
        <v>77</v>
      </c>
      <c r="C14" s="55" t="s">
        <v>0</v>
      </c>
      <c r="D14" s="71"/>
      <c r="E14" s="70"/>
      <c r="F14" s="70"/>
      <c r="G14" s="70"/>
      <c r="H14" s="103"/>
      <c r="I14" s="33"/>
      <c r="J14" s="75"/>
      <c r="K14" s="75"/>
      <c r="L14" s="75"/>
      <c r="M14" s="32"/>
      <c r="N14" s="90"/>
      <c r="O14" s="91"/>
      <c r="P14" s="91"/>
      <c r="Q14" s="91"/>
      <c r="R14" s="91"/>
      <c r="S14" s="91"/>
      <c r="T14" s="91"/>
      <c r="U14" s="91"/>
      <c r="V14" s="95"/>
      <c r="W14" s="117"/>
      <c r="X14" s="118"/>
      <c r="Y14" s="118"/>
      <c r="Z14" s="118"/>
      <c r="AA14" s="118"/>
      <c r="AB14" s="118"/>
      <c r="AC14" s="118"/>
      <c r="AD14" s="118"/>
      <c r="AE14" s="32"/>
    </row>
    <row r="15" spans="1:31" ht="31.5" x14ac:dyDescent="0.25">
      <c r="A15" s="53" t="s">
        <v>40</v>
      </c>
      <c r="B15" s="1" t="s">
        <v>41</v>
      </c>
      <c r="C15" s="55" t="s">
        <v>49</v>
      </c>
      <c r="D15" s="71"/>
      <c r="E15" s="70"/>
      <c r="F15" s="70"/>
      <c r="G15" s="70"/>
      <c r="H15" s="103"/>
      <c r="I15" s="33"/>
      <c r="J15" s="75"/>
      <c r="K15" s="75"/>
      <c r="L15" s="75"/>
      <c r="M15" s="32"/>
      <c r="N15" s="90"/>
      <c r="O15" s="91"/>
      <c r="P15" s="91"/>
      <c r="Q15" s="91"/>
      <c r="R15" s="91"/>
      <c r="S15" s="91"/>
      <c r="T15" s="91"/>
      <c r="U15" s="91"/>
      <c r="V15" s="95"/>
      <c r="W15" s="117"/>
      <c r="X15" s="118"/>
      <c r="Y15" s="118"/>
      <c r="Z15" s="118"/>
      <c r="AA15" s="118"/>
      <c r="AB15" s="118"/>
      <c r="AC15" s="118"/>
      <c r="AD15" s="118"/>
      <c r="AE15" s="32"/>
    </row>
    <row r="16" spans="1:31" x14ac:dyDescent="0.25">
      <c r="A16" s="53" t="s">
        <v>43</v>
      </c>
      <c r="B16" s="1" t="s">
        <v>50</v>
      </c>
      <c r="C16" s="55" t="s">
        <v>51</v>
      </c>
      <c r="D16" s="71"/>
      <c r="E16" s="70"/>
      <c r="F16" s="70"/>
      <c r="G16" s="70"/>
      <c r="H16" s="103"/>
      <c r="I16" s="33"/>
      <c r="J16" s="75"/>
      <c r="K16" s="75"/>
      <c r="L16" s="75"/>
      <c r="M16" s="32"/>
      <c r="N16" s="90"/>
      <c r="O16" s="91"/>
      <c r="P16" s="91"/>
      <c r="Q16" s="91"/>
      <c r="R16" s="91"/>
      <c r="S16" s="91"/>
      <c r="T16" s="91"/>
      <c r="U16" s="91"/>
      <c r="V16" s="95"/>
      <c r="W16" s="117"/>
      <c r="X16" s="118"/>
      <c r="Y16" s="118"/>
      <c r="Z16" s="118"/>
      <c r="AA16" s="118"/>
      <c r="AB16" s="118"/>
      <c r="AC16" s="118"/>
      <c r="AD16" s="118"/>
      <c r="AE16" s="32"/>
    </row>
    <row r="17" spans="1:31" x14ac:dyDescent="0.25">
      <c r="A17" s="53" t="s">
        <v>19</v>
      </c>
      <c r="B17" s="2" t="s">
        <v>78</v>
      </c>
      <c r="C17" s="55" t="s">
        <v>0</v>
      </c>
      <c r="D17" s="71"/>
      <c r="E17" s="70"/>
      <c r="F17" s="70"/>
      <c r="G17" s="70"/>
      <c r="H17" s="103"/>
      <c r="I17" s="33"/>
      <c r="J17" s="75"/>
      <c r="K17" s="75"/>
      <c r="L17" s="75"/>
      <c r="M17" s="32"/>
      <c r="N17" s="90"/>
      <c r="O17" s="91"/>
      <c r="P17" s="91"/>
      <c r="Q17" s="91"/>
      <c r="R17" s="91"/>
      <c r="S17" s="91"/>
      <c r="T17" s="91"/>
      <c r="U17" s="91"/>
      <c r="V17" s="95"/>
      <c r="W17" s="117"/>
      <c r="X17" s="118"/>
      <c r="Y17" s="118"/>
      <c r="Z17" s="118"/>
      <c r="AA17" s="118"/>
      <c r="AB17" s="118"/>
      <c r="AC17" s="118"/>
      <c r="AD17" s="118"/>
      <c r="AE17" s="32"/>
    </row>
    <row r="18" spans="1:31" ht="31.5" x14ac:dyDescent="0.25">
      <c r="A18" s="53" t="s">
        <v>40</v>
      </c>
      <c r="B18" s="1" t="s">
        <v>41</v>
      </c>
      <c r="C18" s="55" t="s">
        <v>49</v>
      </c>
      <c r="D18" s="71"/>
      <c r="E18" s="70"/>
      <c r="F18" s="70"/>
      <c r="G18" s="70"/>
      <c r="H18" s="103"/>
      <c r="I18" s="33"/>
      <c r="J18" s="75"/>
      <c r="K18" s="75"/>
      <c r="L18" s="75"/>
      <c r="M18" s="32"/>
      <c r="N18" s="90"/>
      <c r="O18" s="91"/>
      <c r="P18" s="91"/>
      <c r="Q18" s="91"/>
      <c r="R18" s="91"/>
      <c r="S18" s="91"/>
      <c r="T18" s="91"/>
      <c r="U18" s="91"/>
      <c r="V18" s="95"/>
      <c r="W18" s="117"/>
      <c r="X18" s="118"/>
      <c r="Y18" s="118"/>
      <c r="Z18" s="118"/>
      <c r="AA18" s="118"/>
      <c r="AB18" s="118"/>
      <c r="AC18" s="118"/>
      <c r="AD18" s="118"/>
      <c r="AE18" s="32"/>
    </row>
    <row r="19" spans="1:31" x14ac:dyDescent="0.25">
      <c r="A19" s="53" t="s">
        <v>43</v>
      </c>
      <c r="B19" s="1" t="s">
        <v>50</v>
      </c>
      <c r="C19" s="55" t="s">
        <v>51</v>
      </c>
      <c r="D19" s="71"/>
      <c r="E19" s="70"/>
      <c r="F19" s="70"/>
      <c r="G19" s="70"/>
      <c r="H19" s="103"/>
      <c r="I19" s="33"/>
      <c r="J19" s="75"/>
      <c r="K19" s="75"/>
      <c r="L19" s="75"/>
      <c r="M19" s="32"/>
      <c r="N19" s="90"/>
      <c r="O19" s="91"/>
      <c r="P19" s="91"/>
      <c r="Q19" s="91"/>
      <c r="R19" s="91"/>
      <c r="S19" s="91"/>
      <c r="T19" s="91"/>
      <c r="U19" s="91"/>
      <c r="V19" s="95"/>
      <c r="W19" s="117"/>
      <c r="X19" s="118"/>
      <c r="Y19" s="118"/>
      <c r="Z19" s="118"/>
      <c r="AA19" s="118"/>
      <c r="AB19" s="118"/>
      <c r="AC19" s="118"/>
      <c r="AD19" s="118"/>
      <c r="AE19" s="32"/>
    </row>
    <row r="20" spans="1:31" x14ac:dyDescent="0.25">
      <c r="A20" s="53" t="s">
        <v>21</v>
      </c>
      <c r="B20" s="2" t="s">
        <v>52</v>
      </c>
      <c r="C20" s="55" t="s">
        <v>0</v>
      </c>
      <c r="D20" s="71"/>
      <c r="E20" s="70"/>
      <c r="F20" s="70"/>
      <c r="G20" s="70"/>
      <c r="H20" s="103"/>
      <c r="I20" s="33"/>
      <c r="J20" s="75"/>
      <c r="K20" s="75"/>
      <c r="L20" s="75"/>
      <c r="M20" s="32"/>
      <c r="N20" s="90"/>
      <c r="O20" s="91"/>
      <c r="P20" s="91"/>
      <c r="Q20" s="91"/>
      <c r="R20" s="91"/>
      <c r="S20" s="91"/>
      <c r="T20" s="91"/>
      <c r="U20" s="91"/>
      <c r="V20" s="95"/>
      <c r="W20" s="117"/>
      <c r="X20" s="118"/>
      <c r="Y20" s="118"/>
      <c r="Z20" s="118"/>
      <c r="AA20" s="118"/>
      <c r="AB20" s="118"/>
      <c r="AC20" s="118"/>
      <c r="AD20" s="118"/>
      <c r="AE20" s="32"/>
    </row>
    <row r="21" spans="1:31" x14ac:dyDescent="0.25">
      <c r="A21" s="53" t="s">
        <v>53</v>
      </c>
      <c r="B21" s="2" t="s">
        <v>79</v>
      </c>
      <c r="C21" s="55"/>
      <c r="D21" s="71"/>
      <c r="E21" s="70"/>
      <c r="F21" s="70"/>
      <c r="G21" s="70"/>
      <c r="H21" s="103"/>
      <c r="I21" s="33"/>
      <c r="J21" s="75"/>
      <c r="K21" s="75"/>
      <c r="L21" s="75"/>
      <c r="M21" s="32"/>
      <c r="N21" s="90"/>
      <c r="O21" s="91"/>
      <c r="P21" s="91"/>
      <c r="Q21" s="91"/>
      <c r="R21" s="91"/>
      <c r="S21" s="91"/>
      <c r="T21" s="91"/>
      <c r="U21" s="91"/>
      <c r="V21" s="95"/>
      <c r="W21" s="117"/>
      <c r="X21" s="118"/>
      <c r="Y21" s="118"/>
      <c r="Z21" s="118"/>
      <c r="AA21" s="118"/>
      <c r="AB21" s="118"/>
      <c r="AC21" s="118"/>
      <c r="AD21" s="118"/>
      <c r="AE21" s="32"/>
    </row>
    <row r="22" spans="1:31" ht="31.5" x14ac:dyDescent="0.25">
      <c r="A22" s="53" t="s">
        <v>40</v>
      </c>
      <c r="B22" s="1" t="s">
        <v>41</v>
      </c>
      <c r="C22" s="55" t="s">
        <v>49</v>
      </c>
      <c r="D22" s="71"/>
      <c r="E22" s="70"/>
      <c r="F22" s="70"/>
      <c r="G22" s="70"/>
      <c r="H22" s="103"/>
      <c r="I22" s="33"/>
      <c r="J22" s="75"/>
      <c r="K22" s="75"/>
      <c r="L22" s="75"/>
      <c r="M22" s="32"/>
      <c r="N22" s="90"/>
      <c r="O22" s="91"/>
      <c r="P22" s="91"/>
      <c r="Q22" s="91"/>
      <c r="R22" s="91"/>
      <c r="S22" s="91"/>
      <c r="T22" s="91"/>
      <c r="U22" s="91"/>
      <c r="V22" s="95"/>
      <c r="W22" s="117"/>
      <c r="X22" s="118"/>
      <c r="Y22" s="118"/>
      <c r="Z22" s="118"/>
      <c r="AA22" s="118"/>
      <c r="AB22" s="118"/>
      <c r="AC22" s="118"/>
      <c r="AD22" s="118"/>
      <c r="AE22" s="32"/>
    </row>
    <row r="23" spans="1:31" x14ac:dyDescent="0.25">
      <c r="A23" s="53" t="s">
        <v>43</v>
      </c>
      <c r="B23" s="1" t="s">
        <v>50</v>
      </c>
      <c r="C23" s="55" t="s">
        <v>51</v>
      </c>
      <c r="D23" s="71"/>
      <c r="E23" s="70"/>
      <c r="F23" s="70"/>
      <c r="G23" s="70"/>
      <c r="H23" s="103"/>
      <c r="I23" s="33"/>
      <c r="J23" s="75"/>
      <c r="K23" s="75"/>
      <c r="L23" s="75"/>
      <c r="M23" s="32"/>
      <c r="N23" s="90"/>
      <c r="O23" s="91"/>
      <c r="P23" s="91"/>
      <c r="Q23" s="91"/>
      <c r="R23" s="91"/>
      <c r="S23" s="91"/>
      <c r="T23" s="91"/>
      <c r="U23" s="91"/>
      <c r="V23" s="95"/>
      <c r="W23" s="117"/>
      <c r="X23" s="118"/>
      <c r="Y23" s="118"/>
      <c r="Z23" s="118"/>
      <c r="AA23" s="118"/>
      <c r="AB23" s="118"/>
      <c r="AC23" s="118"/>
      <c r="AD23" s="118"/>
      <c r="AE23" s="32"/>
    </row>
    <row r="24" spans="1:31" x14ac:dyDescent="0.25">
      <c r="A24" s="53" t="s">
        <v>54</v>
      </c>
      <c r="B24" s="2" t="s">
        <v>79</v>
      </c>
      <c r="C24" s="55"/>
      <c r="D24" s="71"/>
      <c r="E24" s="70"/>
      <c r="F24" s="70"/>
      <c r="G24" s="70"/>
      <c r="H24" s="103"/>
      <c r="I24" s="33"/>
      <c r="J24" s="75"/>
      <c r="K24" s="75"/>
      <c r="L24" s="75"/>
      <c r="M24" s="32"/>
      <c r="N24" s="90"/>
      <c r="O24" s="91"/>
      <c r="P24" s="91"/>
      <c r="Q24" s="91"/>
      <c r="R24" s="91"/>
      <c r="S24" s="91"/>
      <c r="T24" s="91"/>
      <c r="U24" s="91"/>
      <c r="V24" s="95"/>
      <c r="W24" s="117"/>
      <c r="X24" s="118"/>
      <c r="Y24" s="118"/>
      <c r="Z24" s="118"/>
      <c r="AA24" s="118"/>
      <c r="AB24" s="118"/>
      <c r="AC24" s="118"/>
      <c r="AD24" s="118"/>
      <c r="AE24" s="32"/>
    </row>
    <row r="25" spans="1:31" ht="31.5" x14ac:dyDescent="0.25">
      <c r="A25" s="53" t="s">
        <v>40</v>
      </c>
      <c r="B25" s="1" t="s">
        <v>41</v>
      </c>
      <c r="C25" s="55" t="s">
        <v>49</v>
      </c>
      <c r="D25" s="71"/>
      <c r="E25" s="70"/>
      <c r="F25" s="70"/>
      <c r="G25" s="70"/>
      <c r="H25" s="103"/>
      <c r="I25" s="33"/>
      <c r="J25" s="75"/>
      <c r="K25" s="75"/>
      <c r="L25" s="75"/>
      <c r="M25" s="32"/>
      <c r="N25" s="90"/>
      <c r="O25" s="91"/>
      <c r="P25" s="91"/>
      <c r="Q25" s="91"/>
      <c r="R25" s="91"/>
      <c r="S25" s="91"/>
      <c r="T25" s="91"/>
      <c r="U25" s="91"/>
      <c r="V25" s="95"/>
      <c r="W25" s="117"/>
      <c r="X25" s="118"/>
      <c r="Y25" s="118"/>
      <c r="Z25" s="118"/>
      <c r="AA25" s="118"/>
      <c r="AB25" s="118"/>
      <c r="AC25" s="118"/>
      <c r="AD25" s="118"/>
      <c r="AE25" s="32"/>
    </row>
    <row r="26" spans="1:31" x14ac:dyDescent="0.25">
      <c r="A26" s="53" t="s">
        <v>43</v>
      </c>
      <c r="B26" s="1" t="s">
        <v>50</v>
      </c>
      <c r="C26" s="55" t="s">
        <v>51</v>
      </c>
      <c r="D26" s="71"/>
      <c r="E26" s="70"/>
      <c r="F26" s="70"/>
      <c r="G26" s="70"/>
      <c r="H26" s="103"/>
      <c r="I26" s="33"/>
      <c r="J26" s="75"/>
      <c r="K26" s="75"/>
      <c r="L26" s="75"/>
      <c r="M26" s="32"/>
      <c r="N26" s="90"/>
      <c r="O26" s="91"/>
      <c r="P26" s="91"/>
      <c r="Q26" s="91"/>
      <c r="R26" s="91"/>
      <c r="S26" s="91"/>
      <c r="T26" s="91"/>
      <c r="U26" s="91"/>
      <c r="V26" s="95"/>
      <c r="W26" s="117"/>
      <c r="X26" s="118"/>
      <c r="Y26" s="118"/>
      <c r="Z26" s="118"/>
      <c r="AA26" s="118"/>
      <c r="AB26" s="118"/>
      <c r="AC26" s="118"/>
      <c r="AD26" s="118"/>
      <c r="AE26" s="32"/>
    </row>
    <row r="27" spans="1:31" x14ac:dyDescent="0.25">
      <c r="A27" s="53" t="s">
        <v>55</v>
      </c>
      <c r="B27" s="1" t="s">
        <v>56</v>
      </c>
      <c r="C27" s="55"/>
      <c r="D27" s="71"/>
      <c r="E27" s="70"/>
      <c r="F27" s="70"/>
      <c r="G27" s="70"/>
      <c r="H27" s="103"/>
      <c r="I27" s="33"/>
      <c r="J27" s="75"/>
      <c r="K27" s="75"/>
      <c r="L27" s="75"/>
      <c r="M27" s="32"/>
      <c r="N27" s="90"/>
      <c r="O27" s="91"/>
      <c r="P27" s="91"/>
      <c r="Q27" s="91"/>
      <c r="R27" s="91"/>
      <c r="S27" s="91"/>
      <c r="T27" s="91"/>
      <c r="U27" s="91"/>
      <c r="V27" s="95"/>
      <c r="W27" s="117"/>
      <c r="X27" s="118"/>
      <c r="Y27" s="118"/>
      <c r="Z27" s="118"/>
      <c r="AA27" s="118"/>
      <c r="AB27" s="118"/>
      <c r="AC27" s="118"/>
      <c r="AD27" s="118"/>
      <c r="AE27" s="32"/>
    </row>
    <row r="28" spans="1:31" x14ac:dyDescent="0.25">
      <c r="A28" s="53" t="s">
        <v>57</v>
      </c>
      <c r="B28" s="2" t="s">
        <v>58</v>
      </c>
      <c r="C28" s="55" t="s">
        <v>0</v>
      </c>
      <c r="D28" s="71"/>
      <c r="E28" s="70"/>
      <c r="F28" s="70"/>
      <c r="G28" s="70"/>
      <c r="H28" s="103"/>
      <c r="I28" s="33"/>
      <c r="J28" s="75"/>
      <c r="K28" s="75"/>
      <c r="L28" s="75"/>
      <c r="M28" s="32"/>
      <c r="N28" s="90"/>
      <c r="O28" s="91"/>
      <c r="P28" s="91"/>
      <c r="Q28" s="91"/>
      <c r="R28" s="91"/>
      <c r="S28" s="91"/>
      <c r="T28" s="91"/>
      <c r="U28" s="91"/>
      <c r="V28" s="95"/>
      <c r="W28" s="117"/>
      <c r="X28" s="118"/>
      <c r="Y28" s="118"/>
      <c r="Z28" s="118"/>
      <c r="AA28" s="118"/>
      <c r="AB28" s="118"/>
      <c r="AC28" s="118"/>
      <c r="AD28" s="118"/>
      <c r="AE28" s="32"/>
    </row>
    <row r="29" spans="1:31" x14ac:dyDescent="0.25">
      <c r="A29" s="53" t="s">
        <v>59</v>
      </c>
      <c r="B29" s="2" t="s">
        <v>80</v>
      </c>
      <c r="C29" s="55" t="s">
        <v>0</v>
      </c>
      <c r="D29" s="71"/>
      <c r="E29" s="70"/>
      <c r="F29" s="70"/>
      <c r="G29" s="70"/>
      <c r="H29" s="103"/>
      <c r="I29" s="33"/>
      <c r="J29" s="75"/>
      <c r="K29" s="75"/>
      <c r="L29" s="75"/>
      <c r="M29" s="32"/>
      <c r="N29" s="90"/>
      <c r="O29" s="91"/>
      <c r="P29" s="91"/>
      <c r="Q29" s="91"/>
      <c r="R29" s="91"/>
      <c r="S29" s="91"/>
      <c r="T29" s="91"/>
      <c r="U29" s="91"/>
      <c r="V29" s="95"/>
      <c r="W29" s="117"/>
      <c r="X29" s="118"/>
      <c r="Y29" s="118"/>
      <c r="Z29" s="118"/>
      <c r="AA29" s="118"/>
      <c r="AB29" s="118"/>
      <c r="AC29" s="118"/>
      <c r="AD29" s="118"/>
      <c r="AE29" s="32"/>
    </row>
    <row r="30" spans="1:31" ht="31.5" x14ac:dyDescent="0.25">
      <c r="A30" s="53" t="s">
        <v>40</v>
      </c>
      <c r="B30" s="1" t="s">
        <v>41</v>
      </c>
      <c r="C30" s="55" t="s">
        <v>60</v>
      </c>
      <c r="D30" s="71"/>
      <c r="E30" s="70"/>
      <c r="F30" s="70"/>
      <c r="G30" s="70"/>
      <c r="H30" s="103"/>
      <c r="I30" s="33"/>
      <c r="J30" s="75"/>
      <c r="K30" s="75"/>
      <c r="L30" s="75"/>
      <c r="M30" s="32"/>
      <c r="N30" s="90"/>
      <c r="O30" s="91"/>
      <c r="P30" s="91"/>
      <c r="Q30" s="91"/>
      <c r="R30" s="91"/>
      <c r="S30" s="91"/>
      <c r="T30" s="91"/>
      <c r="U30" s="91"/>
      <c r="V30" s="95"/>
      <c r="W30" s="117"/>
      <c r="X30" s="118"/>
      <c r="Y30" s="118"/>
      <c r="Z30" s="118"/>
      <c r="AA30" s="118"/>
      <c r="AB30" s="118"/>
      <c r="AC30" s="118"/>
      <c r="AD30" s="118"/>
      <c r="AE30" s="32"/>
    </row>
    <row r="31" spans="1:31" x14ac:dyDescent="0.25">
      <c r="A31" s="53" t="s">
        <v>43</v>
      </c>
      <c r="B31" s="1" t="s">
        <v>61</v>
      </c>
      <c r="C31" s="55" t="s">
        <v>62</v>
      </c>
      <c r="D31" s="71"/>
      <c r="E31" s="70"/>
      <c r="F31" s="70"/>
      <c r="G31" s="70"/>
      <c r="H31" s="103"/>
      <c r="I31" s="33"/>
      <c r="J31" s="75"/>
      <c r="K31" s="75"/>
      <c r="L31" s="75"/>
      <c r="M31" s="32"/>
      <c r="N31" s="90"/>
      <c r="O31" s="91"/>
      <c r="P31" s="91"/>
      <c r="Q31" s="91"/>
      <c r="R31" s="91"/>
      <c r="S31" s="91"/>
      <c r="T31" s="91"/>
      <c r="U31" s="91"/>
      <c r="V31" s="95"/>
      <c r="W31" s="117"/>
      <c r="X31" s="118"/>
      <c r="Y31" s="118"/>
      <c r="Z31" s="118"/>
      <c r="AA31" s="118"/>
      <c r="AB31" s="118"/>
      <c r="AC31" s="118"/>
      <c r="AD31" s="118"/>
      <c r="AE31" s="32"/>
    </row>
    <row r="32" spans="1:31" x14ac:dyDescent="0.25">
      <c r="A32" s="53" t="s">
        <v>63</v>
      </c>
      <c r="B32" s="1" t="s">
        <v>56</v>
      </c>
      <c r="C32" s="55" t="s">
        <v>0</v>
      </c>
      <c r="D32" s="71"/>
      <c r="E32" s="70"/>
      <c r="F32" s="70"/>
      <c r="G32" s="70"/>
      <c r="H32" s="103"/>
      <c r="I32" s="33"/>
      <c r="J32" s="75"/>
      <c r="K32" s="75"/>
      <c r="L32" s="75"/>
      <c r="M32" s="32"/>
      <c r="N32" s="90"/>
      <c r="O32" s="91"/>
      <c r="P32" s="91"/>
      <c r="Q32" s="91"/>
      <c r="R32" s="91"/>
      <c r="S32" s="91"/>
      <c r="T32" s="91"/>
      <c r="U32" s="91"/>
      <c r="V32" s="95"/>
      <c r="W32" s="117"/>
      <c r="X32" s="118"/>
      <c r="Y32" s="118"/>
      <c r="Z32" s="118"/>
      <c r="AA32" s="118"/>
      <c r="AB32" s="118"/>
      <c r="AC32" s="118"/>
      <c r="AD32" s="118"/>
      <c r="AE32" s="32"/>
    </row>
    <row r="33" spans="1:32" x14ac:dyDescent="0.25">
      <c r="A33" s="53" t="s">
        <v>64</v>
      </c>
      <c r="B33" s="2" t="s">
        <v>65</v>
      </c>
      <c r="C33" s="55"/>
      <c r="D33" s="71"/>
      <c r="E33" s="70"/>
      <c r="F33" s="70">
        <v>0.27500000000000002</v>
      </c>
      <c r="G33" s="70">
        <v>0.49099999999999999</v>
      </c>
      <c r="H33" s="104">
        <f>SUM(D33:G33)</f>
        <v>0.76600000000000001</v>
      </c>
      <c r="I33" s="33"/>
      <c r="J33" s="79"/>
      <c r="K33" s="10">
        <f>K34*K36</f>
        <v>2.5817599999999996E-2</v>
      </c>
      <c r="L33" s="10">
        <f>L43-L42</f>
        <v>0.361786</v>
      </c>
      <c r="M33" s="37">
        <f>K33+L33</f>
        <v>0.38760359999999999</v>
      </c>
      <c r="N33" s="90"/>
      <c r="O33" s="91"/>
      <c r="P33" s="6">
        <f>0.113+0.043</f>
        <v>0.156</v>
      </c>
      <c r="Q33" s="6">
        <f>Q38</f>
        <v>0.34150000000000003</v>
      </c>
      <c r="R33" s="6"/>
      <c r="S33" s="6"/>
      <c r="T33" s="6">
        <f>0.113+0.043</f>
        <v>0.156</v>
      </c>
      <c r="U33" s="6">
        <f>U38</f>
        <v>0.34150000000000003</v>
      </c>
      <c r="V33" s="17">
        <f>P33+Q33+T33+U33</f>
        <v>0.99500000000000011</v>
      </c>
      <c r="W33" s="117"/>
      <c r="X33" s="118"/>
      <c r="Y33" s="10">
        <f>Y34</f>
        <v>0.65749999999999997</v>
      </c>
      <c r="Z33" s="10">
        <f>Z38</f>
        <v>1.2630000000000001</v>
      </c>
      <c r="AA33" s="10"/>
      <c r="AB33" s="10"/>
      <c r="AC33" s="10">
        <f>AC34</f>
        <v>0.65749999999999997</v>
      </c>
      <c r="AD33" s="10">
        <f>AD38</f>
        <v>1.2630000000000001</v>
      </c>
      <c r="AE33" s="37">
        <f>Y33+Z33+AC33+AD33</f>
        <v>3.8410000000000002</v>
      </c>
    </row>
    <row r="34" spans="1:32" x14ac:dyDescent="0.25">
      <c r="A34" s="53" t="s">
        <v>66</v>
      </c>
      <c r="B34" s="2" t="s">
        <v>81</v>
      </c>
      <c r="C34" s="55"/>
      <c r="D34" s="71"/>
      <c r="E34" s="70"/>
      <c r="F34" s="75">
        <v>8.2000000000000003E-2</v>
      </c>
      <c r="G34" s="70"/>
      <c r="H34" s="104">
        <f t="shared" ref="H34:H35" si="3">SUM(D34:G34)</f>
        <v>8.2000000000000003E-2</v>
      </c>
      <c r="I34" s="33"/>
      <c r="J34" s="79"/>
      <c r="K34" s="10">
        <f>K43-K42-K41-K10</f>
        <v>2.5817599999999996E-2</v>
      </c>
      <c r="L34" s="75"/>
      <c r="M34" s="37">
        <f>K34</f>
        <v>2.5817599999999996E-2</v>
      </c>
      <c r="N34" s="90"/>
      <c r="O34" s="91"/>
      <c r="P34" s="6">
        <v>4.1265000000000003E-2</v>
      </c>
      <c r="Q34" s="6"/>
      <c r="R34" s="6"/>
      <c r="S34" s="6"/>
      <c r="T34" s="6">
        <v>4.1265000000000003E-2</v>
      </c>
      <c r="U34" s="6"/>
      <c r="V34" s="17">
        <v>0.3</v>
      </c>
      <c r="W34" s="117"/>
      <c r="X34" s="118"/>
      <c r="Y34" s="10">
        <v>0.65749999999999997</v>
      </c>
      <c r="Z34" s="10"/>
      <c r="AA34" s="10"/>
      <c r="AB34" s="10"/>
      <c r="AC34" s="10">
        <f>Y34</f>
        <v>0.65749999999999997</v>
      </c>
      <c r="AD34" s="10"/>
      <c r="AE34" s="37">
        <f>Y34+Z34+AC34+AD34</f>
        <v>1.3149999999999999</v>
      </c>
    </row>
    <row r="35" spans="1:32" x14ac:dyDescent="0.25">
      <c r="A35" s="53" t="s">
        <v>40</v>
      </c>
      <c r="B35" s="1" t="s">
        <v>41</v>
      </c>
      <c r="C35" s="55" t="s">
        <v>67</v>
      </c>
      <c r="D35" s="71"/>
      <c r="E35" s="70"/>
      <c r="F35" s="7">
        <f>F34/F37*100</f>
        <v>7.7067669172932325</v>
      </c>
      <c r="G35" s="5"/>
      <c r="H35" s="104">
        <f t="shared" si="3"/>
        <v>7.7067669172932325</v>
      </c>
      <c r="I35" s="33"/>
      <c r="J35" s="79"/>
      <c r="K35" s="7">
        <f>K34/K37*100</f>
        <v>3.9331994722746115</v>
      </c>
      <c r="L35" s="7"/>
      <c r="M35" s="58">
        <f>M34/M37*100</f>
        <v>0.18521421311901964</v>
      </c>
      <c r="N35" s="90"/>
      <c r="O35" s="91"/>
      <c r="P35" s="10">
        <f>P34/P37*100</f>
        <v>8.7452435221301386</v>
      </c>
      <c r="Q35" s="6"/>
      <c r="R35" s="6"/>
      <c r="S35" s="6"/>
      <c r="T35" s="10">
        <f>T34/T37*100</f>
        <v>8.7452435221301386</v>
      </c>
      <c r="U35" s="10"/>
      <c r="V35" s="10">
        <f t="shared" ref="V35" si="4">V34/V37*100</f>
        <v>2.4906726385247775</v>
      </c>
      <c r="W35" s="117"/>
      <c r="X35" s="118"/>
      <c r="Y35" s="10">
        <f>Y34/Y37*100</f>
        <v>6.5147386673272232</v>
      </c>
      <c r="Z35" s="10"/>
      <c r="AA35" s="10"/>
      <c r="AB35" s="10"/>
      <c r="AC35" s="10">
        <f>AC34/AC37*100</f>
        <v>6.5147386673272232</v>
      </c>
      <c r="AD35" s="10"/>
      <c r="AE35" s="37">
        <f t="shared" ref="AE35" si="5">AE34/AE37*100</f>
        <v>2.3852279117012207</v>
      </c>
    </row>
    <row r="36" spans="1:32" x14ac:dyDescent="0.25">
      <c r="A36" s="53" t="s">
        <v>43</v>
      </c>
      <c r="B36" s="1" t="s">
        <v>68</v>
      </c>
      <c r="C36" s="55"/>
      <c r="D36" s="71"/>
      <c r="E36" s="70"/>
      <c r="F36" s="7">
        <v>1</v>
      </c>
      <c r="G36" s="70"/>
      <c r="H36" s="104">
        <v>1</v>
      </c>
      <c r="I36" s="33"/>
      <c r="J36" s="79"/>
      <c r="K36" s="7">
        <v>1</v>
      </c>
      <c r="L36" s="75"/>
      <c r="M36" s="58">
        <v>1</v>
      </c>
      <c r="N36" s="90"/>
      <c r="O36" s="91"/>
      <c r="P36" s="10">
        <v>1</v>
      </c>
      <c r="Q36" s="6"/>
      <c r="R36" s="6"/>
      <c r="S36" s="6"/>
      <c r="T36" s="10">
        <v>1</v>
      </c>
      <c r="U36" s="6"/>
      <c r="V36" s="17">
        <v>1</v>
      </c>
      <c r="W36" s="117"/>
      <c r="X36" s="118"/>
      <c r="Y36" s="10">
        <v>1</v>
      </c>
      <c r="Z36" s="10"/>
      <c r="AA36" s="10"/>
      <c r="AB36" s="10"/>
      <c r="AC36" s="10">
        <v>1</v>
      </c>
      <c r="AD36" s="10"/>
      <c r="AE36" s="37">
        <v>1</v>
      </c>
    </row>
    <row r="37" spans="1:32" x14ac:dyDescent="0.25">
      <c r="A37" s="53" t="s">
        <v>46</v>
      </c>
      <c r="B37" s="2" t="s">
        <v>69</v>
      </c>
      <c r="C37" s="55" t="s">
        <v>0</v>
      </c>
      <c r="D37" s="71"/>
      <c r="E37" s="70"/>
      <c r="F37" s="6">
        <v>1.0640000000000001</v>
      </c>
      <c r="G37" s="6">
        <v>11.920999999999999</v>
      </c>
      <c r="H37" s="104">
        <f>F37+G37</f>
        <v>12.984999999999999</v>
      </c>
      <c r="I37" s="107"/>
      <c r="J37" s="79"/>
      <c r="K37" s="10">
        <v>0.65640200000000004</v>
      </c>
      <c r="L37" s="10">
        <f>13.253053+0.029864</f>
        <v>13.282916999999999</v>
      </c>
      <c r="M37" s="37">
        <f>SUM(I37:L37)</f>
        <v>13.939318999999999</v>
      </c>
      <c r="N37" s="90"/>
      <c r="O37" s="91"/>
      <c r="P37" s="6">
        <f>0.943713/2</f>
        <v>0.47185650000000001</v>
      </c>
      <c r="Q37" s="6">
        <f>11.101226/2</f>
        <v>5.5506130000000002</v>
      </c>
      <c r="R37" s="6"/>
      <c r="S37" s="6"/>
      <c r="T37" s="6">
        <f>0.943713/2</f>
        <v>0.47185650000000001</v>
      </c>
      <c r="U37" s="6">
        <f>11.101226/2</f>
        <v>5.5506130000000002</v>
      </c>
      <c r="V37" s="17">
        <f>SUM(N37:U37)</f>
        <v>12.044939000000001</v>
      </c>
      <c r="W37" s="117"/>
      <c r="X37" s="118"/>
      <c r="Y37" s="10">
        <f>20.185/2</f>
        <v>10.092499999999999</v>
      </c>
      <c r="Z37" s="10">
        <f>34.946/2</f>
        <v>17.472999999999999</v>
      </c>
      <c r="AA37" s="10"/>
      <c r="AB37" s="10"/>
      <c r="AC37" s="10">
        <f>Y37</f>
        <v>10.092499999999999</v>
      </c>
      <c r="AD37" s="10">
        <f>Z37</f>
        <v>17.472999999999999</v>
      </c>
      <c r="AE37" s="37">
        <f>SUM(W37:AD37)</f>
        <v>55.131</v>
      </c>
    </row>
    <row r="38" spans="1:32" x14ac:dyDescent="0.25">
      <c r="A38" s="53" t="s">
        <v>70</v>
      </c>
      <c r="B38" s="1" t="s">
        <v>82</v>
      </c>
      <c r="C38" s="55" t="s">
        <v>0</v>
      </c>
      <c r="D38" s="71"/>
      <c r="E38" s="70"/>
      <c r="F38" s="70"/>
      <c r="G38" s="70">
        <v>0.49099999999999999</v>
      </c>
      <c r="H38" s="104">
        <f>G38</f>
        <v>0.49099999999999999</v>
      </c>
      <c r="I38" s="33"/>
      <c r="J38" s="79"/>
      <c r="K38" s="75"/>
      <c r="L38" s="10">
        <f>L33</f>
        <v>0.361786</v>
      </c>
      <c r="M38" s="37">
        <f>L38</f>
        <v>0.361786</v>
      </c>
      <c r="N38" s="90"/>
      <c r="O38" s="91"/>
      <c r="P38" s="6"/>
      <c r="Q38" s="6">
        <v>0.34150000000000003</v>
      </c>
      <c r="R38" s="6"/>
      <c r="S38" s="6"/>
      <c r="T38" s="6"/>
      <c r="U38" s="6">
        <v>0.34150000000000003</v>
      </c>
      <c r="V38" s="17">
        <f>Q38+U38</f>
        <v>0.68300000000000005</v>
      </c>
      <c r="W38" s="117"/>
      <c r="X38" s="118"/>
      <c r="Y38" s="10"/>
      <c r="Z38" s="10">
        <f>(0.266+0.391)*1.5+0.1675+0.11</f>
        <v>1.2630000000000001</v>
      </c>
      <c r="AA38" s="10"/>
      <c r="AB38" s="10"/>
      <c r="AC38" s="10"/>
      <c r="AD38" s="10">
        <f>Z38</f>
        <v>1.2630000000000001</v>
      </c>
      <c r="AE38" s="37">
        <f>Z38+AD38</f>
        <v>2.5260000000000002</v>
      </c>
    </row>
    <row r="39" spans="1:32" ht="31.5" x14ac:dyDescent="0.25">
      <c r="A39" s="53" t="s">
        <v>40</v>
      </c>
      <c r="B39" s="1" t="s">
        <v>41</v>
      </c>
      <c r="C39" s="55" t="s">
        <v>71</v>
      </c>
      <c r="D39" s="71"/>
      <c r="E39" s="70"/>
      <c r="F39" s="70"/>
      <c r="G39" s="70">
        <f>G38*1000/G40</f>
        <v>19.122171593254663</v>
      </c>
      <c r="H39" s="104">
        <f>G39</f>
        <v>19.122171593254663</v>
      </c>
      <c r="I39" s="33"/>
      <c r="J39" s="79"/>
      <c r="K39" s="75"/>
      <c r="L39" s="75">
        <f>L38*1000/L40</f>
        <v>13.046736386584925</v>
      </c>
      <c r="M39" s="32">
        <f>L39</f>
        <v>13.046736386584925</v>
      </c>
      <c r="N39" s="90"/>
      <c r="O39" s="91"/>
      <c r="P39" s="6"/>
      <c r="Q39" s="6">
        <f>Q38*1000/Q40</f>
        <v>13.299840324025393</v>
      </c>
      <c r="R39" s="6"/>
      <c r="S39" s="6"/>
      <c r="T39" s="6"/>
      <c r="U39" s="6">
        <f>U38*1000/U40</f>
        <v>13.299840324025393</v>
      </c>
      <c r="V39" s="6">
        <f>V38*1000/V40</f>
        <v>26.599680648050786</v>
      </c>
      <c r="W39" s="117"/>
      <c r="X39" s="118"/>
      <c r="Y39" s="10"/>
      <c r="Z39" s="10">
        <f>Z38*1000/Z40</f>
        <v>19.857553888967505</v>
      </c>
      <c r="AA39" s="10"/>
      <c r="AB39" s="10"/>
      <c r="AC39" s="10"/>
      <c r="AD39" s="10">
        <f>AD38*1000/AD40</f>
        <v>19.857553888967505</v>
      </c>
      <c r="AE39" s="37">
        <f>AE38*1000/AE40</f>
        <v>39.71510777793501</v>
      </c>
    </row>
    <row r="40" spans="1:32" x14ac:dyDescent="0.25">
      <c r="A40" s="53" t="s">
        <v>43</v>
      </c>
      <c r="B40" s="2" t="s">
        <v>72</v>
      </c>
      <c r="C40" s="55" t="s">
        <v>62</v>
      </c>
      <c r="D40" s="71"/>
      <c r="E40" s="70"/>
      <c r="F40" s="70"/>
      <c r="G40" s="70">
        <v>25.677</v>
      </c>
      <c r="H40" s="104">
        <f>G40</f>
        <v>25.677</v>
      </c>
      <c r="I40" s="33"/>
      <c r="J40" s="79"/>
      <c r="K40" s="75"/>
      <c r="L40" s="75">
        <v>27.73</v>
      </c>
      <c r="M40" s="32">
        <f>L40</f>
        <v>27.73</v>
      </c>
      <c r="N40" s="90"/>
      <c r="O40" s="91"/>
      <c r="P40" s="6"/>
      <c r="Q40" s="6">
        <v>25.677</v>
      </c>
      <c r="R40" s="6"/>
      <c r="S40" s="6"/>
      <c r="T40" s="6"/>
      <c r="U40" s="6">
        <v>25.677</v>
      </c>
      <c r="V40" s="17">
        <f t="shared" ref="V40" si="6">Q40</f>
        <v>25.677</v>
      </c>
      <c r="W40" s="117"/>
      <c r="X40" s="118"/>
      <c r="Y40" s="10"/>
      <c r="Z40" s="10">
        <f>54.654+8.949</f>
        <v>63.603000000000002</v>
      </c>
      <c r="AA40" s="10"/>
      <c r="AB40" s="10"/>
      <c r="AC40" s="10"/>
      <c r="AD40" s="10">
        <f>Z40</f>
        <v>63.603000000000002</v>
      </c>
      <c r="AE40" s="37">
        <f t="shared" ref="AE40" si="7">Z40</f>
        <v>63.603000000000002</v>
      </c>
    </row>
    <row r="41" spans="1:32" x14ac:dyDescent="0.25">
      <c r="A41" s="53" t="s">
        <v>3</v>
      </c>
      <c r="B41" s="2" t="s">
        <v>73</v>
      </c>
      <c r="C41" s="55" t="s">
        <v>0</v>
      </c>
      <c r="D41" s="71"/>
      <c r="E41" s="70"/>
      <c r="F41" s="70">
        <v>1.6E-2</v>
      </c>
      <c r="G41" s="70"/>
      <c r="H41" s="104">
        <f>F41</f>
        <v>1.6E-2</v>
      </c>
      <c r="I41" s="33"/>
      <c r="J41" s="79"/>
      <c r="K41" s="75">
        <v>1.0999999999999999E-2</v>
      </c>
      <c r="L41" s="75"/>
      <c r="M41" s="32">
        <f>K41</f>
        <v>1.0999999999999999E-2</v>
      </c>
      <c r="N41" s="90"/>
      <c r="O41" s="91"/>
      <c r="P41" s="6">
        <f>0.0055*1.5</f>
        <v>8.2500000000000004E-3</v>
      </c>
      <c r="Q41" s="6"/>
      <c r="R41" s="6"/>
      <c r="S41" s="6"/>
      <c r="T41" s="6">
        <f>0.0055*1.5</f>
        <v>8.2500000000000004E-3</v>
      </c>
      <c r="U41" s="6"/>
      <c r="V41" s="17">
        <f>P41+T41</f>
        <v>1.6500000000000001E-2</v>
      </c>
      <c r="W41" s="117"/>
      <c r="X41" s="118"/>
      <c r="Y41" s="10">
        <v>0.05</v>
      </c>
      <c r="Z41" s="10"/>
      <c r="AA41" s="10"/>
      <c r="AB41" s="10"/>
      <c r="AC41" s="10">
        <v>0.05</v>
      </c>
      <c r="AD41" s="10"/>
      <c r="AE41" s="37">
        <f>Y41+AC41</f>
        <v>0.1</v>
      </c>
    </row>
    <row r="42" spans="1:32" x14ac:dyDescent="0.25">
      <c r="A42" s="53" t="s">
        <v>4</v>
      </c>
      <c r="B42" s="2" t="s">
        <v>74</v>
      </c>
      <c r="C42" s="55" t="s">
        <v>0</v>
      </c>
      <c r="D42" s="71"/>
      <c r="E42" s="70"/>
      <c r="F42" s="6">
        <v>6.2E-2</v>
      </c>
      <c r="G42" s="70">
        <v>6.2E-2</v>
      </c>
      <c r="H42" s="104">
        <f>SUM(B42:G42)</f>
        <v>0.124</v>
      </c>
      <c r="I42" s="33"/>
      <c r="J42" s="79"/>
      <c r="K42" s="10">
        <v>6.2E-2</v>
      </c>
      <c r="L42" s="75">
        <v>6.2E-2</v>
      </c>
      <c r="M42" s="37">
        <f>SUM(I42:L42)</f>
        <v>0.124</v>
      </c>
      <c r="N42" s="90"/>
      <c r="O42" s="91"/>
      <c r="P42" s="6">
        <f>0.020515*1.5</f>
        <v>3.0772499999999998E-2</v>
      </c>
      <c r="Q42" s="6">
        <f>0.0205*1.5</f>
        <v>3.075E-2</v>
      </c>
      <c r="R42" s="6"/>
      <c r="S42" s="6"/>
      <c r="T42" s="6">
        <f>0.020515*1.5</f>
        <v>3.0772499999999998E-2</v>
      </c>
      <c r="U42" s="6">
        <f>0.0205*1.5</f>
        <v>3.075E-2</v>
      </c>
      <c r="V42" s="17">
        <f>SUM(P42:U42)</f>
        <v>0.12304499999999999</v>
      </c>
      <c r="W42" s="117"/>
      <c r="X42" s="118"/>
      <c r="Y42" s="10">
        <f>0.020515*1.5</f>
        <v>3.0772499999999998E-2</v>
      </c>
      <c r="Z42" s="10">
        <f>0.0205*1.5</f>
        <v>3.075E-2</v>
      </c>
      <c r="AA42" s="10"/>
      <c r="AB42" s="10"/>
      <c r="AC42" s="10">
        <f>0.020515*1.5</f>
        <v>3.0772499999999998E-2</v>
      </c>
      <c r="AD42" s="10">
        <f>0.0205*1.5</f>
        <v>3.075E-2</v>
      </c>
      <c r="AE42" s="37">
        <f>SUM(Y42:AD42)</f>
        <v>0.12304499999999999</v>
      </c>
    </row>
    <row r="43" spans="1:32" ht="16.5" thickBot="1" x14ac:dyDescent="0.3">
      <c r="A43" s="54" t="s">
        <v>5</v>
      </c>
      <c r="B43" s="60" t="s">
        <v>75</v>
      </c>
      <c r="C43" s="56" t="s">
        <v>0</v>
      </c>
      <c r="D43" s="73"/>
      <c r="E43" s="74"/>
      <c r="F43" s="21">
        <v>0.68400000000000005</v>
      </c>
      <c r="G43" s="74">
        <v>0.55200000000000005</v>
      </c>
      <c r="H43" s="106">
        <f>F43+G43</f>
        <v>1.2360000000000002</v>
      </c>
      <c r="I43" s="112"/>
      <c r="J43" s="80"/>
      <c r="K43" s="81">
        <v>0.43308960000000002</v>
      </c>
      <c r="L43" s="81">
        <v>0.423786</v>
      </c>
      <c r="M43" s="59">
        <f>K43+L43</f>
        <v>0.85687559999999996</v>
      </c>
      <c r="N43" s="93"/>
      <c r="O43" s="94"/>
      <c r="P43" s="21">
        <f>P10+P33+P41+P42</f>
        <v>0.41721849999999994</v>
      </c>
      <c r="Q43" s="21">
        <f>Q38+Q42</f>
        <v>0.37225000000000003</v>
      </c>
      <c r="R43" s="21"/>
      <c r="S43" s="21"/>
      <c r="T43" s="21">
        <f>T10+T33+T41+T42</f>
        <v>0.41721849999999994</v>
      </c>
      <c r="U43" s="21">
        <f>U38+U42</f>
        <v>0.37225000000000003</v>
      </c>
      <c r="V43" s="22">
        <f>SUM(N43:U43)</f>
        <v>1.5789369999999998</v>
      </c>
      <c r="W43" s="112"/>
      <c r="X43" s="113"/>
      <c r="Y43" s="81">
        <f>Y10+Y33+Y41+Y42</f>
        <v>1.2303297880000001</v>
      </c>
      <c r="Z43" s="81">
        <f>Z38+Z42</f>
        <v>1.2937500000000002</v>
      </c>
      <c r="AA43" s="81"/>
      <c r="AB43" s="81"/>
      <c r="AC43" s="81">
        <f>AC10+AC33+AC41+AC42</f>
        <v>1.2303297880000001</v>
      </c>
      <c r="AD43" s="81">
        <f>AD38+AD42</f>
        <v>1.2937500000000002</v>
      </c>
      <c r="AE43" s="59">
        <f>SUM(W43:AD43)</f>
        <v>5.0481595760000006</v>
      </c>
    </row>
    <row r="48" spans="1:32" x14ac:dyDescent="0.25">
      <c r="B48" s="65"/>
      <c r="C48" s="65"/>
      <c r="D48" s="65"/>
      <c r="E48" s="65"/>
      <c r="F48" s="65"/>
      <c r="Q48" s="126"/>
      <c r="R48" s="126"/>
      <c r="S48" s="126"/>
      <c r="T48" s="126"/>
      <c r="U48" s="126"/>
      <c r="AF48" s="12"/>
    </row>
    <row r="49" spans="9:12" x14ac:dyDescent="0.25">
      <c r="I49" s="3" t="s">
        <v>107</v>
      </c>
      <c r="L49" s="12"/>
    </row>
    <row r="50" spans="9:12" x14ac:dyDescent="0.25">
      <c r="I50" s="3" t="s">
        <v>108</v>
      </c>
      <c r="J50" s="3" t="s">
        <v>109</v>
      </c>
      <c r="K50" s="3" t="s">
        <v>110</v>
      </c>
      <c r="L50" s="3" t="s">
        <v>111</v>
      </c>
    </row>
    <row r="51" spans="9:12" x14ac:dyDescent="0.25">
      <c r="I51" s="3">
        <v>1250</v>
      </c>
      <c r="J51" s="3">
        <v>6</v>
      </c>
      <c r="K51" s="3">
        <v>1628</v>
      </c>
      <c r="L51" s="3">
        <f>J51*K51*8760/1000</f>
        <v>85567.679999999993</v>
      </c>
    </row>
    <row r="52" spans="9:12" x14ac:dyDescent="0.25">
      <c r="I52" s="3">
        <v>400</v>
      </c>
      <c r="J52" s="3">
        <v>10</v>
      </c>
      <c r="K52" s="3">
        <v>718.1</v>
      </c>
      <c r="L52" s="3">
        <f t="shared" ref="L52:L55" si="8">J52*K52*8760/1000</f>
        <v>62905.56</v>
      </c>
    </row>
    <row r="53" spans="9:12" x14ac:dyDescent="0.25">
      <c r="I53" s="3">
        <v>250</v>
      </c>
      <c r="J53" s="3">
        <v>1</v>
      </c>
      <c r="K53" s="3">
        <v>570</v>
      </c>
      <c r="L53" s="3">
        <f t="shared" si="8"/>
        <v>4993.2</v>
      </c>
    </row>
    <row r="54" spans="9:12" x14ac:dyDescent="0.25">
      <c r="I54" s="3">
        <v>1000</v>
      </c>
      <c r="J54" s="3">
        <v>10</v>
      </c>
      <c r="K54" s="3">
        <v>1600</v>
      </c>
      <c r="L54" s="3">
        <f t="shared" si="8"/>
        <v>140160</v>
      </c>
    </row>
    <row r="55" spans="9:12" x14ac:dyDescent="0.25">
      <c r="I55" s="3">
        <v>630</v>
      </c>
      <c r="J55" s="3">
        <v>4</v>
      </c>
      <c r="K55" s="3">
        <v>1160</v>
      </c>
      <c r="L55" s="3">
        <f t="shared" si="8"/>
        <v>40646.400000000001</v>
      </c>
    </row>
  </sheetData>
  <mergeCells count="15">
    <mergeCell ref="Q48:U48"/>
    <mergeCell ref="A2:C2"/>
    <mergeCell ref="A3:C3"/>
    <mergeCell ref="N6:Q6"/>
    <mergeCell ref="W5:AE5"/>
    <mergeCell ref="W6:Z6"/>
    <mergeCell ref="AA6:AD6"/>
    <mergeCell ref="R6:U6"/>
    <mergeCell ref="A5:A7"/>
    <mergeCell ref="B5:B7"/>
    <mergeCell ref="C5:C7"/>
    <mergeCell ref="D5:M5"/>
    <mergeCell ref="D6:H6"/>
    <mergeCell ref="I6:M6"/>
    <mergeCell ref="N5:V5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57" fitToWidth="0" orientation="landscape" r:id="rId1"/>
  <headerFooter>
    <oddFooter>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D28"/>
  <sheetViews>
    <sheetView view="pageBreakPreview" zoomScaleNormal="100" zoomScaleSheetLayoutView="100" workbookViewId="0">
      <pane xSplit="2" ySplit="8" topLeftCell="K9" activePane="bottomRight" state="frozen"/>
      <selection pane="topRight" activeCell="C1" sqref="C1"/>
      <selection pane="bottomLeft" activeCell="A9" sqref="A9"/>
      <selection pane="bottomRight" activeCell="AA20" sqref="AA20"/>
    </sheetView>
  </sheetViews>
  <sheetFormatPr defaultRowHeight="15.75" x14ac:dyDescent="0.25"/>
  <cols>
    <col min="1" max="1" width="4.7109375" style="3" bestFit="1" customWidth="1"/>
    <col min="2" max="2" width="50" style="3" customWidth="1"/>
    <col min="3" max="3" width="4.85546875" style="3" customWidth="1"/>
    <col min="4" max="4" width="7" style="3" customWidth="1"/>
    <col min="5" max="5" width="8.42578125" style="3" bestFit="1" customWidth="1"/>
    <col min="6" max="6" width="8.85546875" style="3" customWidth="1"/>
    <col min="7" max="7" width="8.42578125" style="3" customWidth="1"/>
    <col min="8" max="8" width="5.85546875" style="3" customWidth="1"/>
    <col min="9" max="9" width="6.28515625" style="3" customWidth="1"/>
    <col min="10" max="10" width="11.7109375" style="3" customWidth="1"/>
    <col min="11" max="11" width="11" style="3" customWidth="1"/>
    <col min="12" max="12" width="10.5703125" style="3" customWidth="1"/>
    <col min="13" max="13" width="5.140625" style="3" customWidth="1"/>
    <col min="14" max="14" width="5.7109375" style="3" customWidth="1"/>
    <col min="15" max="15" width="12.28515625" style="3" customWidth="1"/>
    <col min="16" max="16" width="11.5703125" style="3" customWidth="1"/>
    <col min="17" max="17" width="6.7109375" style="3" customWidth="1"/>
    <col min="18" max="18" width="6.5703125" style="3" customWidth="1"/>
    <col min="19" max="19" width="11.85546875" style="3" customWidth="1"/>
    <col min="20" max="20" width="11.7109375" style="3" customWidth="1"/>
    <col min="21" max="21" width="12.42578125" style="3" customWidth="1"/>
    <col min="22" max="22" width="9.85546875" style="3" customWidth="1"/>
    <col min="23" max="23" width="9.42578125" style="3" customWidth="1"/>
    <col min="24" max="24" width="12.7109375" style="3" customWidth="1"/>
    <col min="25" max="25" width="11.28515625" style="3" customWidth="1"/>
    <col min="26" max="26" width="11.140625" style="3" customWidth="1"/>
    <col min="27" max="27" width="10.5703125" style="3" customWidth="1"/>
    <col min="28" max="28" width="13.7109375" style="3" customWidth="1"/>
    <col min="29" max="29" width="12" style="3" customWidth="1"/>
    <col min="30" max="30" width="11.140625" style="3" customWidth="1"/>
    <col min="31" max="16384" width="9.140625" style="3"/>
  </cols>
  <sheetData>
    <row r="1" spans="1:30" x14ac:dyDescent="0.25">
      <c r="L1" s="4" t="s">
        <v>37</v>
      </c>
    </row>
    <row r="2" spans="1:30" ht="15.75" customHeight="1" x14ac:dyDescent="0.25">
      <c r="A2" s="9"/>
      <c r="B2" s="9"/>
      <c r="C2" s="149" t="s">
        <v>36</v>
      </c>
      <c r="D2" s="149"/>
      <c r="E2" s="149"/>
      <c r="F2" s="149"/>
      <c r="G2" s="149"/>
      <c r="H2" s="149"/>
      <c r="I2" s="149"/>
      <c r="J2" s="149"/>
    </row>
    <row r="3" spans="1:30" ht="15.75" customHeight="1" x14ac:dyDescent="0.25">
      <c r="A3" s="9"/>
      <c r="B3" s="9"/>
      <c r="C3" s="149" t="s">
        <v>114</v>
      </c>
      <c r="D3" s="149"/>
      <c r="E3" s="149"/>
      <c r="F3" s="149"/>
      <c r="G3" s="149"/>
      <c r="H3" s="149"/>
      <c r="I3" s="149"/>
      <c r="J3" s="149"/>
    </row>
    <row r="4" spans="1:30" ht="16.5" thickBot="1" x14ac:dyDescent="0.3">
      <c r="L4" s="4" t="s">
        <v>0</v>
      </c>
    </row>
    <row r="5" spans="1:30" ht="15.75" customHeight="1" x14ac:dyDescent="0.25">
      <c r="A5" s="133" t="s">
        <v>7</v>
      </c>
      <c r="B5" s="136" t="s">
        <v>1</v>
      </c>
      <c r="C5" s="139" t="s">
        <v>113</v>
      </c>
      <c r="D5" s="140"/>
      <c r="E5" s="140"/>
      <c r="F5" s="140"/>
      <c r="G5" s="140"/>
      <c r="H5" s="140"/>
      <c r="I5" s="140"/>
      <c r="J5" s="140"/>
      <c r="K5" s="140"/>
      <c r="L5" s="141"/>
      <c r="M5" s="133" t="s">
        <v>102</v>
      </c>
      <c r="N5" s="131"/>
      <c r="O5" s="131"/>
      <c r="P5" s="131"/>
      <c r="Q5" s="131"/>
      <c r="R5" s="131"/>
      <c r="S5" s="131"/>
      <c r="T5" s="131"/>
      <c r="U5" s="136"/>
      <c r="V5" s="144" t="s">
        <v>112</v>
      </c>
      <c r="W5" s="145"/>
      <c r="X5" s="145"/>
      <c r="Y5" s="145"/>
      <c r="Z5" s="145"/>
      <c r="AA5" s="145"/>
      <c r="AB5" s="145"/>
      <c r="AC5" s="145"/>
      <c r="AD5" s="146"/>
    </row>
    <row r="6" spans="1:30" ht="15.75" customHeight="1" x14ac:dyDescent="0.25">
      <c r="A6" s="128"/>
      <c r="B6" s="137"/>
      <c r="C6" s="150" t="s">
        <v>98</v>
      </c>
      <c r="D6" s="142"/>
      <c r="E6" s="142"/>
      <c r="F6" s="142"/>
      <c r="G6" s="132"/>
      <c r="H6" s="151" t="s">
        <v>99</v>
      </c>
      <c r="I6" s="142"/>
      <c r="J6" s="142"/>
      <c r="K6" s="142"/>
      <c r="L6" s="143"/>
      <c r="M6" s="128" t="s">
        <v>96</v>
      </c>
      <c r="N6" s="129"/>
      <c r="O6" s="129"/>
      <c r="P6" s="129"/>
      <c r="Q6" s="129" t="s">
        <v>97</v>
      </c>
      <c r="R6" s="129"/>
      <c r="S6" s="129"/>
      <c r="T6" s="129"/>
      <c r="U6" s="35"/>
      <c r="V6" s="147" t="s">
        <v>96</v>
      </c>
      <c r="W6" s="148"/>
      <c r="X6" s="148"/>
      <c r="Y6" s="148"/>
      <c r="Z6" s="148" t="s">
        <v>97</v>
      </c>
      <c r="AA6" s="148"/>
      <c r="AB6" s="148"/>
      <c r="AC6" s="148"/>
      <c r="AD6" s="119"/>
    </row>
    <row r="7" spans="1:30" ht="16.5" thickBot="1" x14ac:dyDescent="0.3">
      <c r="A7" s="134"/>
      <c r="B7" s="138"/>
      <c r="C7" s="54" t="s">
        <v>9</v>
      </c>
      <c r="D7" s="20" t="s">
        <v>10</v>
      </c>
      <c r="E7" s="20" t="s">
        <v>11</v>
      </c>
      <c r="F7" s="20" t="s">
        <v>12</v>
      </c>
      <c r="G7" s="20" t="s">
        <v>8</v>
      </c>
      <c r="H7" s="20" t="s">
        <v>9</v>
      </c>
      <c r="I7" s="20" t="s">
        <v>10</v>
      </c>
      <c r="J7" s="20" t="s">
        <v>11</v>
      </c>
      <c r="K7" s="20" t="s">
        <v>12</v>
      </c>
      <c r="L7" s="56" t="s">
        <v>8</v>
      </c>
      <c r="M7" s="54" t="s">
        <v>9</v>
      </c>
      <c r="N7" s="20" t="s">
        <v>10</v>
      </c>
      <c r="O7" s="20" t="s">
        <v>11</v>
      </c>
      <c r="P7" s="20" t="s">
        <v>12</v>
      </c>
      <c r="Q7" s="20" t="s">
        <v>9</v>
      </c>
      <c r="R7" s="20" t="s">
        <v>10</v>
      </c>
      <c r="S7" s="20" t="s">
        <v>11</v>
      </c>
      <c r="T7" s="20" t="s">
        <v>12</v>
      </c>
      <c r="U7" s="56" t="s">
        <v>8</v>
      </c>
      <c r="V7" s="112" t="s">
        <v>9</v>
      </c>
      <c r="W7" s="113" t="s">
        <v>10</v>
      </c>
      <c r="X7" s="113" t="s">
        <v>11</v>
      </c>
      <c r="Y7" s="113" t="s">
        <v>12</v>
      </c>
      <c r="Z7" s="113" t="s">
        <v>9</v>
      </c>
      <c r="AA7" s="113" t="s">
        <v>10</v>
      </c>
      <c r="AB7" s="113" t="s">
        <v>11</v>
      </c>
      <c r="AC7" s="113" t="s">
        <v>12</v>
      </c>
      <c r="AD7" s="120" t="s">
        <v>8</v>
      </c>
    </row>
    <row r="8" spans="1:30" x14ac:dyDescent="0.25">
      <c r="A8" s="43">
        <v>1</v>
      </c>
      <c r="B8" s="44">
        <v>2</v>
      </c>
      <c r="C8" s="72">
        <v>3</v>
      </c>
      <c r="D8" s="68">
        <v>4</v>
      </c>
      <c r="E8" s="68">
        <v>5</v>
      </c>
      <c r="F8" s="68">
        <v>6</v>
      </c>
      <c r="G8" s="69">
        <v>7</v>
      </c>
      <c r="H8" s="82">
        <v>8</v>
      </c>
      <c r="I8" s="83">
        <v>9</v>
      </c>
      <c r="J8" s="83">
        <v>10</v>
      </c>
      <c r="K8" s="83">
        <v>11</v>
      </c>
      <c r="L8" s="84">
        <v>12</v>
      </c>
      <c r="M8" s="43">
        <v>31</v>
      </c>
      <c r="N8" s="45">
        <v>32</v>
      </c>
      <c r="O8" s="45">
        <v>33</v>
      </c>
      <c r="P8" s="45">
        <v>34</v>
      </c>
      <c r="Q8" s="45">
        <v>35</v>
      </c>
      <c r="R8" s="63">
        <v>36</v>
      </c>
      <c r="S8" s="63">
        <v>37</v>
      </c>
      <c r="T8" s="63">
        <v>38</v>
      </c>
      <c r="U8" s="64">
        <v>39</v>
      </c>
      <c r="V8" s="121">
        <v>40</v>
      </c>
      <c r="W8" s="83">
        <v>41</v>
      </c>
      <c r="X8" s="83">
        <v>42</v>
      </c>
      <c r="Y8" s="83">
        <v>43</v>
      </c>
      <c r="Z8" s="83">
        <v>44</v>
      </c>
      <c r="AA8" s="122">
        <v>45</v>
      </c>
      <c r="AB8" s="122">
        <v>46</v>
      </c>
      <c r="AC8" s="122">
        <v>47</v>
      </c>
      <c r="AD8" s="123">
        <v>48</v>
      </c>
    </row>
    <row r="9" spans="1:30" x14ac:dyDescent="0.25">
      <c r="A9" s="53" t="s">
        <v>2</v>
      </c>
      <c r="B9" s="35" t="s">
        <v>13</v>
      </c>
      <c r="C9" s="76"/>
      <c r="D9" s="6"/>
      <c r="E9" s="6">
        <f>E10</f>
        <v>14.736000000000001</v>
      </c>
      <c r="F9" s="6"/>
      <c r="G9" s="17">
        <f>SUM(C9:F9)</f>
        <v>14.736000000000001</v>
      </c>
      <c r="H9" s="85"/>
      <c r="I9" s="86"/>
      <c r="J9" s="10">
        <f>J10</f>
        <v>15.377941</v>
      </c>
      <c r="K9" s="10"/>
      <c r="L9" s="37">
        <f t="shared" ref="L9:L10" si="0">SUM(H9:K9)</f>
        <v>15.377941</v>
      </c>
      <c r="M9" s="16"/>
      <c r="N9" s="13"/>
      <c r="O9" s="6">
        <f>S9</f>
        <v>9.4118785000000003</v>
      </c>
      <c r="P9" s="6"/>
      <c r="Q9" s="13"/>
      <c r="R9" s="13"/>
      <c r="S9" s="6">
        <f>U9/2</f>
        <v>9.4118785000000003</v>
      </c>
      <c r="T9" s="6"/>
      <c r="U9" s="17">
        <f>U21+U18</f>
        <v>18.823757000000001</v>
      </c>
      <c r="V9" s="114"/>
      <c r="W9" s="87"/>
      <c r="X9" s="10">
        <f>AB9</f>
        <v>30.089579788000002</v>
      </c>
      <c r="Y9" s="10"/>
      <c r="Z9" s="87"/>
      <c r="AA9" s="87"/>
      <c r="AB9" s="10">
        <f>AD9/2</f>
        <v>30.089579788000002</v>
      </c>
      <c r="AC9" s="10"/>
      <c r="AD9" s="37">
        <f>AD21+AD18</f>
        <v>60.179159576000004</v>
      </c>
    </row>
    <row r="10" spans="1:30" x14ac:dyDescent="0.25">
      <c r="A10" s="53" t="s">
        <v>14</v>
      </c>
      <c r="B10" s="35" t="s">
        <v>15</v>
      </c>
      <c r="C10" s="76"/>
      <c r="D10" s="6"/>
      <c r="E10" s="6">
        <v>14.736000000000001</v>
      </c>
      <c r="F10" s="6"/>
      <c r="G10" s="17">
        <f t="shared" ref="G10:G28" si="1">SUM(C10:F10)</f>
        <v>14.736000000000001</v>
      </c>
      <c r="H10" s="85"/>
      <c r="I10" s="86"/>
      <c r="J10" s="10">
        <f>J14</f>
        <v>15.377941</v>
      </c>
      <c r="K10" s="10"/>
      <c r="L10" s="37">
        <f t="shared" si="0"/>
        <v>15.377941</v>
      </c>
      <c r="M10" s="16"/>
      <c r="N10" s="13"/>
      <c r="O10" s="6">
        <f>S10</f>
        <v>9.4118785000000003</v>
      </c>
      <c r="P10" s="6"/>
      <c r="Q10" s="13"/>
      <c r="R10" s="13"/>
      <c r="S10" s="6">
        <f>S9</f>
        <v>9.4118785000000003</v>
      </c>
      <c r="T10" s="6"/>
      <c r="U10" s="17">
        <f>O10+S10</f>
        <v>18.823757000000001</v>
      </c>
      <c r="V10" s="114"/>
      <c r="W10" s="87"/>
      <c r="X10" s="10">
        <f>AB10</f>
        <v>30.089579788000002</v>
      </c>
      <c r="Y10" s="10"/>
      <c r="Z10" s="87"/>
      <c r="AA10" s="87"/>
      <c r="AB10" s="10">
        <f>AB9</f>
        <v>30.089579788000002</v>
      </c>
      <c r="AC10" s="10"/>
      <c r="AD10" s="37">
        <f>X10+AB10</f>
        <v>60.179159576000004</v>
      </c>
    </row>
    <row r="11" spans="1:30" x14ac:dyDescent="0.25">
      <c r="A11" s="53"/>
      <c r="B11" s="35" t="s">
        <v>16</v>
      </c>
      <c r="C11" s="76"/>
      <c r="D11" s="6"/>
      <c r="E11" s="6"/>
      <c r="F11" s="6"/>
      <c r="G11" s="17"/>
      <c r="H11" s="85"/>
      <c r="I11" s="86"/>
      <c r="J11" s="10"/>
      <c r="K11" s="10"/>
      <c r="L11" s="37"/>
      <c r="M11" s="16"/>
      <c r="N11" s="13"/>
      <c r="O11" s="13"/>
      <c r="P11" s="6"/>
      <c r="Q11" s="13"/>
      <c r="R11" s="13"/>
      <c r="S11" s="6"/>
      <c r="T11" s="6"/>
      <c r="U11" s="17"/>
      <c r="V11" s="114"/>
      <c r="W11" s="87"/>
      <c r="X11" s="87"/>
      <c r="Y11" s="10"/>
      <c r="Z11" s="87"/>
      <c r="AA11" s="87"/>
      <c r="AB11" s="10"/>
      <c r="AC11" s="10"/>
      <c r="AD11" s="37"/>
    </row>
    <row r="12" spans="1:30" x14ac:dyDescent="0.25">
      <c r="A12" s="53"/>
      <c r="B12" s="35" t="s">
        <v>9</v>
      </c>
      <c r="C12" s="76"/>
      <c r="D12" s="6"/>
      <c r="E12" s="6"/>
      <c r="F12" s="6"/>
      <c r="G12" s="17"/>
      <c r="H12" s="85"/>
      <c r="I12" s="86"/>
      <c r="J12" s="10"/>
      <c r="K12" s="10"/>
      <c r="L12" s="37"/>
      <c r="M12" s="16"/>
      <c r="N12" s="13"/>
      <c r="O12" s="6"/>
      <c r="P12" s="6"/>
      <c r="Q12" s="13"/>
      <c r="R12" s="13"/>
      <c r="S12" s="6"/>
      <c r="T12" s="6"/>
      <c r="U12" s="17"/>
      <c r="V12" s="114"/>
      <c r="W12" s="87"/>
      <c r="X12" s="10"/>
      <c r="Y12" s="10"/>
      <c r="Z12" s="87"/>
      <c r="AA12" s="87"/>
      <c r="AB12" s="10"/>
      <c r="AC12" s="10"/>
      <c r="AD12" s="37"/>
    </row>
    <row r="13" spans="1:30" x14ac:dyDescent="0.25">
      <c r="A13" s="53"/>
      <c r="B13" s="35" t="s">
        <v>10</v>
      </c>
      <c r="C13" s="76"/>
      <c r="D13" s="6"/>
      <c r="E13" s="6"/>
      <c r="F13" s="6"/>
      <c r="G13" s="17"/>
      <c r="H13" s="85"/>
      <c r="I13" s="86"/>
      <c r="J13" s="10"/>
      <c r="K13" s="10"/>
      <c r="L13" s="37"/>
      <c r="M13" s="16"/>
      <c r="N13" s="13"/>
      <c r="O13" s="13"/>
      <c r="P13" s="6"/>
      <c r="Q13" s="13"/>
      <c r="R13" s="13"/>
      <c r="S13" s="6"/>
      <c r="T13" s="6"/>
      <c r="U13" s="17"/>
      <c r="V13" s="114"/>
      <c r="W13" s="87"/>
      <c r="X13" s="87"/>
      <c r="Y13" s="10"/>
      <c r="Z13" s="87"/>
      <c r="AA13" s="87"/>
      <c r="AB13" s="10"/>
      <c r="AC13" s="10"/>
      <c r="AD13" s="37"/>
    </row>
    <row r="14" spans="1:30" x14ac:dyDescent="0.25">
      <c r="A14" s="53"/>
      <c r="B14" s="35" t="s">
        <v>11</v>
      </c>
      <c r="C14" s="76"/>
      <c r="D14" s="6"/>
      <c r="E14" s="6">
        <v>14.736000000000001</v>
      </c>
      <c r="F14" s="6"/>
      <c r="G14" s="17">
        <f t="shared" si="1"/>
        <v>14.736000000000001</v>
      </c>
      <c r="H14" s="85"/>
      <c r="I14" s="86"/>
      <c r="J14" s="10">
        <f>L18+L21</f>
        <v>15.377941</v>
      </c>
      <c r="K14" s="10"/>
      <c r="L14" s="37">
        <f>SUM(H14:K14)</f>
        <v>15.377941</v>
      </c>
      <c r="M14" s="16"/>
      <c r="N14" s="13"/>
      <c r="O14" s="6">
        <f>S14</f>
        <v>9.4118785000000003</v>
      </c>
      <c r="P14" s="6"/>
      <c r="Q14" s="13"/>
      <c r="R14" s="13"/>
      <c r="S14" s="6">
        <f>U14/2</f>
        <v>9.4118785000000003</v>
      </c>
      <c r="T14" s="6"/>
      <c r="U14" s="17">
        <f>U18+U21</f>
        <v>18.823757000000001</v>
      </c>
      <c r="V14" s="114"/>
      <c r="W14" s="87"/>
      <c r="X14" s="10">
        <f>AB14</f>
        <v>30.089579788000002</v>
      </c>
      <c r="Y14" s="10"/>
      <c r="Z14" s="87"/>
      <c r="AA14" s="87"/>
      <c r="AB14" s="10">
        <f>AD14/2</f>
        <v>30.089579788000002</v>
      </c>
      <c r="AC14" s="10"/>
      <c r="AD14" s="37">
        <f>AD18+AD21</f>
        <v>60.179159576000004</v>
      </c>
    </row>
    <row r="15" spans="1:30" x14ac:dyDescent="0.25">
      <c r="A15" s="53" t="s">
        <v>17</v>
      </c>
      <c r="B15" s="25" t="s">
        <v>18</v>
      </c>
      <c r="C15" s="76"/>
      <c r="D15" s="6"/>
      <c r="E15" s="13"/>
      <c r="F15" s="6"/>
      <c r="G15" s="17"/>
      <c r="H15" s="85"/>
      <c r="I15" s="86"/>
      <c r="J15" s="86"/>
      <c r="K15" s="10"/>
      <c r="L15" s="37"/>
      <c r="M15" s="16"/>
      <c r="N15" s="13"/>
      <c r="O15" s="13"/>
      <c r="P15" s="6"/>
      <c r="Q15" s="13"/>
      <c r="R15" s="13"/>
      <c r="S15" s="13"/>
      <c r="T15" s="6"/>
      <c r="U15" s="17"/>
      <c r="V15" s="114"/>
      <c r="W15" s="87"/>
      <c r="X15" s="87"/>
      <c r="Y15" s="10"/>
      <c r="Z15" s="87"/>
      <c r="AA15" s="87"/>
      <c r="AB15" s="87"/>
      <c r="AC15" s="10"/>
      <c r="AD15" s="37"/>
    </row>
    <row r="16" spans="1:30" x14ac:dyDescent="0.25">
      <c r="A16" s="53" t="s">
        <v>19</v>
      </c>
      <c r="B16" s="25" t="s">
        <v>20</v>
      </c>
      <c r="C16" s="76"/>
      <c r="D16" s="6"/>
      <c r="E16" s="13"/>
      <c r="F16" s="6"/>
      <c r="G16" s="17"/>
      <c r="H16" s="85"/>
      <c r="I16" s="86"/>
      <c r="J16" s="86"/>
      <c r="K16" s="10"/>
      <c r="L16" s="37"/>
      <c r="M16" s="16"/>
      <c r="N16" s="13"/>
      <c r="O16" s="13"/>
      <c r="P16" s="6"/>
      <c r="Q16" s="13"/>
      <c r="R16" s="13"/>
      <c r="S16" s="13"/>
      <c r="T16" s="6"/>
      <c r="U16" s="17"/>
      <c r="V16" s="114"/>
      <c r="W16" s="87"/>
      <c r="X16" s="87"/>
      <c r="Y16" s="10"/>
      <c r="Z16" s="87"/>
      <c r="AA16" s="87"/>
      <c r="AB16" s="87"/>
      <c r="AC16" s="10"/>
      <c r="AD16" s="37"/>
    </row>
    <row r="17" spans="1:30" x14ac:dyDescent="0.25">
      <c r="A17" s="53" t="s">
        <v>21</v>
      </c>
      <c r="B17" s="25" t="s">
        <v>22</v>
      </c>
      <c r="C17" s="76"/>
      <c r="D17" s="6"/>
      <c r="E17" s="13"/>
      <c r="F17" s="6"/>
      <c r="G17" s="17"/>
      <c r="H17" s="85"/>
      <c r="I17" s="86"/>
      <c r="J17" s="86"/>
      <c r="K17" s="10"/>
      <c r="L17" s="37"/>
      <c r="M17" s="16"/>
      <c r="N17" s="13"/>
      <c r="O17" s="13"/>
      <c r="P17" s="6"/>
      <c r="Q17" s="13"/>
      <c r="R17" s="13"/>
      <c r="S17" s="13"/>
      <c r="T17" s="6"/>
      <c r="U17" s="17"/>
      <c r="V17" s="114"/>
      <c r="W17" s="87"/>
      <c r="X17" s="87"/>
      <c r="Y17" s="10"/>
      <c r="Z17" s="87"/>
      <c r="AA17" s="87"/>
      <c r="AB17" s="87"/>
      <c r="AC17" s="10"/>
      <c r="AD17" s="37"/>
    </row>
    <row r="18" spans="1:30" x14ac:dyDescent="0.25">
      <c r="A18" s="53" t="s">
        <v>3</v>
      </c>
      <c r="B18" s="25" t="s">
        <v>23</v>
      </c>
      <c r="C18" s="76"/>
      <c r="D18" s="6"/>
      <c r="E18" s="6">
        <f>0.3419655*2</f>
        <v>0.68393099999999996</v>
      </c>
      <c r="F18" s="6">
        <v>0.55200000000000005</v>
      </c>
      <c r="G18" s="17">
        <f t="shared" si="1"/>
        <v>1.2359309999999999</v>
      </c>
      <c r="H18" s="85"/>
      <c r="I18" s="86"/>
      <c r="J18" s="10">
        <v>0.43308600000000003</v>
      </c>
      <c r="K18" s="10">
        <v>0.423786</v>
      </c>
      <c r="L18" s="37">
        <f>J18+K18</f>
        <v>0.85687200000000008</v>
      </c>
      <c r="M18" s="16"/>
      <c r="N18" s="87"/>
      <c r="O18" s="10">
        <v>0.41721849999999994</v>
      </c>
      <c r="P18" s="10">
        <v>0.37225000000000003</v>
      </c>
      <c r="Q18" s="10"/>
      <c r="R18" s="10"/>
      <c r="S18" s="10">
        <f>O18</f>
        <v>0.41721849999999994</v>
      </c>
      <c r="T18" s="10">
        <f>P18</f>
        <v>0.37225000000000003</v>
      </c>
      <c r="U18" s="37">
        <f>O18+P18+S18+T18</f>
        <v>1.5789369999999998</v>
      </c>
      <c r="V18" s="114"/>
      <c r="W18" s="87"/>
      <c r="X18" s="10">
        <f>'П 1.3'!Y43</f>
        <v>1.2303297880000001</v>
      </c>
      <c r="Y18" s="10">
        <f>'П 1.3'!Z43</f>
        <v>1.2937500000000002</v>
      </c>
      <c r="Z18" s="10"/>
      <c r="AA18" s="10"/>
      <c r="AB18" s="10">
        <f>'П 1.3'!AC43</f>
        <v>1.2303297880000001</v>
      </c>
      <c r="AC18" s="10">
        <f>'П 1.3'!AD43</f>
        <v>1.2937500000000002</v>
      </c>
      <c r="AD18" s="37">
        <f>X18+Y18+AB18+AC18</f>
        <v>5.0481595760000006</v>
      </c>
    </row>
    <row r="19" spans="1:30" x14ac:dyDescent="0.25">
      <c r="A19" s="53"/>
      <c r="B19" s="25" t="s">
        <v>35</v>
      </c>
      <c r="C19" s="76"/>
      <c r="D19" s="6"/>
      <c r="E19" s="13"/>
      <c r="F19" s="6"/>
      <c r="G19" s="17"/>
      <c r="H19" s="85"/>
      <c r="I19" s="86"/>
      <c r="J19" s="86"/>
      <c r="K19" s="10"/>
      <c r="L19" s="37"/>
      <c r="M19" s="16"/>
      <c r="N19" s="13"/>
      <c r="O19" s="97"/>
      <c r="P19" s="98"/>
      <c r="Q19" s="13"/>
      <c r="R19" s="13"/>
      <c r="S19" s="13"/>
      <c r="T19" s="6"/>
      <c r="U19" s="17"/>
      <c r="V19" s="114"/>
      <c r="W19" s="87"/>
      <c r="X19" s="124"/>
      <c r="Y19" s="125"/>
      <c r="Z19" s="87"/>
      <c r="AA19" s="87"/>
      <c r="AB19" s="87"/>
      <c r="AC19" s="10"/>
      <c r="AD19" s="37"/>
    </row>
    <row r="20" spans="1:30" ht="31.5" x14ac:dyDescent="0.25">
      <c r="A20" s="53" t="s">
        <v>4</v>
      </c>
      <c r="B20" s="25" t="s">
        <v>6</v>
      </c>
      <c r="C20" s="76"/>
      <c r="D20" s="6"/>
      <c r="E20" s="13"/>
      <c r="F20" s="6"/>
      <c r="G20" s="17"/>
      <c r="H20" s="85"/>
      <c r="I20" s="86"/>
      <c r="J20" s="86"/>
      <c r="K20" s="10"/>
      <c r="L20" s="37"/>
      <c r="M20" s="16"/>
      <c r="N20" s="13"/>
      <c r="O20" s="13"/>
      <c r="P20" s="6"/>
      <c r="Q20" s="13"/>
      <c r="R20" s="13"/>
      <c r="S20" s="13"/>
      <c r="T20" s="6"/>
      <c r="U20" s="17"/>
      <c r="V20" s="114"/>
      <c r="W20" s="87"/>
      <c r="X20" s="87"/>
      <c r="Y20" s="10"/>
      <c r="Z20" s="87"/>
      <c r="AA20" s="87"/>
      <c r="AB20" s="87"/>
      <c r="AC20" s="10"/>
      <c r="AD20" s="37"/>
    </row>
    <row r="21" spans="1:30" x14ac:dyDescent="0.25">
      <c r="A21" s="53" t="s">
        <v>5</v>
      </c>
      <c r="B21" s="35" t="s">
        <v>24</v>
      </c>
      <c r="C21" s="76"/>
      <c r="D21" s="6"/>
      <c r="E21" s="6">
        <f>E23+E28</f>
        <v>1.194</v>
      </c>
      <c r="F21" s="6">
        <f>F23+F28</f>
        <v>12.305999999999999</v>
      </c>
      <c r="G21" s="17">
        <f t="shared" si="1"/>
        <v>13.5</v>
      </c>
      <c r="H21" s="85"/>
      <c r="I21" s="86"/>
      <c r="J21" s="10">
        <f>J23+J28</f>
        <v>1.2381519999999999</v>
      </c>
      <c r="K21" s="10">
        <f>K23+K28</f>
        <v>13.282917000000001</v>
      </c>
      <c r="L21" s="37">
        <f>J21+K21</f>
        <v>14.521069000000001</v>
      </c>
      <c r="M21" s="16"/>
      <c r="N21" s="13"/>
      <c r="O21" s="6">
        <f>O23+O28</f>
        <v>0.38023250000000003</v>
      </c>
      <c r="P21" s="6">
        <f>P23</f>
        <v>8.2248695000000005</v>
      </c>
      <c r="Q21" s="13"/>
      <c r="R21" s="13"/>
      <c r="S21" s="6">
        <f>O21</f>
        <v>0.38023250000000003</v>
      </c>
      <c r="T21" s="6">
        <f>T23</f>
        <v>8.2248695000000005</v>
      </c>
      <c r="U21" s="17">
        <f>U23+U28</f>
        <v>17.244820000000001</v>
      </c>
      <c r="V21" s="114"/>
      <c r="W21" s="87"/>
      <c r="X21" s="10">
        <f>20.185/2</f>
        <v>10.092499999999999</v>
      </c>
      <c r="Y21" s="10">
        <f>34.946/2</f>
        <v>17.472999999999999</v>
      </c>
      <c r="Z21" s="87"/>
      <c r="AA21" s="87"/>
      <c r="AB21" s="10">
        <f>X21</f>
        <v>10.092499999999999</v>
      </c>
      <c r="AC21" s="10">
        <f>Y21</f>
        <v>17.472999999999999</v>
      </c>
      <c r="AD21" s="37">
        <f>AD23+AD28</f>
        <v>55.131</v>
      </c>
    </row>
    <row r="22" spans="1:30" x14ac:dyDescent="0.25">
      <c r="A22" s="53"/>
      <c r="B22" s="35" t="s">
        <v>25</v>
      </c>
      <c r="C22" s="76"/>
      <c r="D22" s="6"/>
      <c r="E22" s="13"/>
      <c r="F22" s="6"/>
      <c r="G22" s="17"/>
      <c r="H22" s="85"/>
      <c r="I22" s="86"/>
      <c r="J22" s="87"/>
      <c r="K22" s="10"/>
      <c r="L22" s="37"/>
      <c r="M22" s="16"/>
      <c r="N22" s="13"/>
      <c r="O22" s="13"/>
      <c r="P22" s="6"/>
      <c r="Q22" s="13"/>
      <c r="R22" s="13"/>
      <c r="S22" s="13"/>
      <c r="T22" s="6"/>
      <c r="U22" s="17"/>
      <c r="V22" s="114"/>
      <c r="W22" s="87"/>
      <c r="X22" s="87"/>
      <c r="Y22" s="10"/>
      <c r="Z22" s="87"/>
      <c r="AA22" s="87"/>
      <c r="AB22" s="87"/>
      <c r="AC22" s="10"/>
      <c r="AD22" s="37"/>
    </row>
    <row r="23" spans="1:30" ht="18.75" customHeight="1" x14ac:dyDescent="0.25">
      <c r="A23" s="53" t="s">
        <v>26</v>
      </c>
      <c r="B23" s="25" t="s">
        <v>27</v>
      </c>
      <c r="C23" s="76"/>
      <c r="D23" s="6"/>
      <c r="E23" s="6">
        <v>1.129</v>
      </c>
      <c r="F23" s="6">
        <v>12.305999999999999</v>
      </c>
      <c r="G23" s="17">
        <f t="shared" si="1"/>
        <v>13.434999999999999</v>
      </c>
      <c r="H23" s="85"/>
      <c r="I23" s="86"/>
      <c r="J23" s="10">
        <v>0.65640200000000004</v>
      </c>
      <c r="K23" s="10">
        <f>4.800458+8.452595</f>
        <v>13.253053000000001</v>
      </c>
      <c r="L23" s="37">
        <f>J23+K23</f>
        <v>13.909455000000001</v>
      </c>
      <c r="M23" s="16"/>
      <c r="N23" s="13"/>
      <c r="O23" s="6">
        <v>0.38023250000000003</v>
      </c>
      <c r="P23" s="6">
        <f>8.2421775-0.034616/2</f>
        <v>8.2248695000000005</v>
      </c>
      <c r="Q23" s="13"/>
      <c r="R23" s="13"/>
      <c r="S23" s="6">
        <f>O23</f>
        <v>0.38023250000000003</v>
      </c>
      <c r="T23" s="6">
        <f>P23</f>
        <v>8.2248695000000005</v>
      </c>
      <c r="U23" s="17">
        <f>SUM(M23:T23)</f>
        <v>17.210204000000001</v>
      </c>
      <c r="V23" s="114"/>
      <c r="W23" s="87"/>
      <c r="X23" s="10">
        <f>X21-X28</f>
        <v>7.692499999999999</v>
      </c>
      <c r="Y23" s="10">
        <f>Y21-Y28</f>
        <v>17.455500000000001</v>
      </c>
      <c r="Z23" s="87"/>
      <c r="AA23" s="87"/>
      <c r="AB23" s="10">
        <f>X23</f>
        <v>7.692499999999999</v>
      </c>
      <c r="AC23" s="10">
        <f>Y23</f>
        <v>17.455500000000001</v>
      </c>
      <c r="AD23" s="37">
        <f>SUM(V23:AC23)</f>
        <v>50.295999999999999</v>
      </c>
    </row>
    <row r="24" spans="1:30" x14ac:dyDescent="0.25">
      <c r="A24" s="53"/>
      <c r="B24" s="35" t="s">
        <v>28</v>
      </c>
      <c r="C24" s="76"/>
      <c r="D24" s="6"/>
      <c r="E24" s="13"/>
      <c r="F24" s="6"/>
      <c r="G24" s="17"/>
      <c r="H24" s="85"/>
      <c r="I24" s="86"/>
      <c r="J24" s="87"/>
      <c r="K24" s="10"/>
      <c r="L24" s="37"/>
      <c r="M24" s="16"/>
      <c r="N24" s="13"/>
      <c r="O24" s="13"/>
      <c r="P24" s="6"/>
      <c r="Q24" s="13"/>
      <c r="R24" s="13"/>
      <c r="S24" s="13"/>
      <c r="T24" s="6"/>
      <c r="U24" s="17"/>
      <c r="V24" s="114"/>
      <c r="W24" s="87"/>
      <c r="X24" s="87"/>
      <c r="Y24" s="10"/>
      <c r="Z24" s="87"/>
      <c r="AA24" s="87"/>
      <c r="AB24" s="87"/>
      <c r="AC24" s="10"/>
      <c r="AD24" s="37"/>
    </row>
    <row r="25" spans="1:30" ht="31.5" x14ac:dyDescent="0.25">
      <c r="A25" s="53"/>
      <c r="B25" s="35" t="s">
        <v>29</v>
      </c>
      <c r="C25" s="76"/>
      <c r="D25" s="6"/>
      <c r="E25" s="6"/>
      <c r="F25" s="6"/>
      <c r="G25" s="17"/>
      <c r="H25" s="85"/>
      <c r="I25" s="86"/>
      <c r="J25" s="10"/>
      <c r="K25" s="10"/>
      <c r="L25" s="37"/>
      <c r="M25" s="16"/>
      <c r="N25" s="13"/>
      <c r="O25" s="6"/>
      <c r="P25" s="6"/>
      <c r="Q25" s="13"/>
      <c r="R25" s="13"/>
      <c r="S25" s="6"/>
      <c r="T25" s="6"/>
      <c r="U25" s="17"/>
      <c r="V25" s="114"/>
      <c r="W25" s="87"/>
      <c r="X25" s="10"/>
      <c r="Y25" s="10"/>
      <c r="Z25" s="87"/>
      <c r="AA25" s="87"/>
      <c r="AB25" s="10"/>
      <c r="AC25" s="10"/>
      <c r="AD25" s="37"/>
    </row>
    <row r="26" spans="1:30" x14ac:dyDescent="0.25">
      <c r="A26" s="53"/>
      <c r="B26" s="25" t="s">
        <v>30</v>
      </c>
      <c r="C26" s="76"/>
      <c r="D26" s="6"/>
      <c r="E26" s="13"/>
      <c r="F26" s="6"/>
      <c r="G26" s="17"/>
      <c r="H26" s="85"/>
      <c r="I26" s="86"/>
      <c r="J26" s="87"/>
      <c r="K26" s="10"/>
      <c r="L26" s="37"/>
      <c r="M26" s="16"/>
      <c r="N26" s="13"/>
      <c r="O26" s="13"/>
      <c r="P26" s="6"/>
      <c r="Q26" s="13"/>
      <c r="R26" s="13"/>
      <c r="S26" s="13"/>
      <c r="T26" s="6"/>
      <c r="U26" s="17"/>
      <c r="V26" s="114"/>
      <c r="W26" s="87"/>
      <c r="X26" s="87"/>
      <c r="Y26" s="10"/>
      <c r="Z26" s="87"/>
      <c r="AA26" s="87"/>
      <c r="AB26" s="87"/>
      <c r="AC26" s="10"/>
      <c r="AD26" s="37"/>
    </row>
    <row r="27" spans="1:30" x14ac:dyDescent="0.25">
      <c r="A27" s="53" t="s">
        <v>31</v>
      </c>
      <c r="B27" s="25" t="s">
        <v>32</v>
      </c>
      <c r="C27" s="76"/>
      <c r="D27" s="6"/>
      <c r="E27" s="13"/>
      <c r="F27" s="6"/>
      <c r="G27" s="17"/>
      <c r="H27" s="85"/>
      <c r="I27" s="86"/>
      <c r="J27" s="87"/>
      <c r="K27" s="10"/>
      <c r="L27" s="37"/>
      <c r="M27" s="16"/>
      <c r="N27" s="13"/>
      <c r="O27" s="13"/>
      <c r="P27" s="6"/>
      <c r="Q27" s="13"/>
      <c r="R27" s="13"/>
      <c r="S27" s="13"/>
      <c r="T27" s="6"/>
      <c r="U27" s="17"/>
      <c r="V27" s="114"/>
      <c r="W27" s="87"/>
      <c r="X27" s="87"/>
      <c r="Y27" s="10"/>
      <c r="Z27" s="87"/>
      <c r="AA27" s="87"/>
      <c r="AB27" s="87"/>
      <c r="AC27" s="10"/>
      <c r="AD27" s="37"/>
    </row>
    <row r="28" spans="1:30" ht="16.5" thickBot="1" x14ac:dyDescent="0.3">
      <c r="A28" s="54" t="s">
        <v>33</v>
      </c>
      <c r="B28" s="62" t="s">
        <v>34</v>
      </c>
      <c r="C28" s="77"/>
      <c r="D28" s="21"/>
      <c r="E28" s="21">
        <v>6.5000000000000002E-2</v>
      </c>
      <c r="F28" s="21"/>
      <c r="G28" s="17">
        <f t="shared" si="1"/>
        <v>6.5000000000000002E-2</v>
      </c>
      <c r="H28" s="88"/>
      <c r="I28" s="89"/>
      <c r="J28" s="81">
        <v>0.58174999999999999</v>
      </c>
      <c r="K28" s="81">
        <v>2.9864000000000002E-2</v>
      </c>
      <c r="L28" s="59">
        <f>K28+J28</f>
        <v>0.61161399999999999</v>
      </c>
      <c r="M28" s="19"/>
      <c r="N28" s="24"/>
      <c r="O28" s="21"/>
      <c r="P28" s="21">
        <f>0.034616/2</f>
        <v>1.7308E-2</v>
      </c>
      <c r="Q28" s="24"/>
      <c r="R28" s="24"/>
      <c r="S28" s="21"/>
      <c r="T28" s="21">
        <f>P28</f>
        <v>1.7308E-2</v>
      </c>
      <c r="U28" s="22">
        <f>SUM(M28:T28)</f>
        <v>3.4616000000000001E-2</v>
      </c>
      <c r="V28" s="115"/>
      <c r="W28" s="116"/>
      <c r="X28" s="81">
        <f>4.8/2</f>
        <v>2.4</v>
      </c>
      <c r="Y28" s="81">
        <f>0.035/2</f>
        <v>1.7500000000000002E-2</v>
      </c>
      <c r="Z28" s="116"/>
      <c r="AA28" s="116"/>
      <c r="AB28" s="81">
        <f>X28</f>
        <v>2.4</v>
      </c>
      <c r="AC28" s="81">
        <f>Y28</f>
        <v>1.7500000000000002E-2</v>
      </c>
      <c r="AD28" s="59">
        <f>SUM(V28:AC28)</f>
        <v>4.835</v>
      </c>
    </row>
  </sheetData>
  <mergeCells count="13">
    <mergeCell ref="A5:A7"/>
    <mergeCell ref="B5:B7"/>
    <mergeCell ref="C5:L5"/>
    <mergeCell ref="C6:G6"/>
    <mergeCell ref="H6:L6"/>
    <mergeCell ref="V5:AD5"/>
    <mergeCell ref="V6:Y6"/>
    <mergeCell ref="Z6:AC6"/>
    <mergeCell ref="C2:J2"/>
    <mergeCell ref="C3:J3"/>
    <mergeCell ref="M5:U5"/>
    <mergeCell ref="M6:P6"/>
    <mergeCell ref="Q6:T6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97" fitToWidth="0" orientation="landscape" r:id="rId1"/>
  <headerFooter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D20"/>
  <sheetViews>
    <sheetView tabSelected="1" view="pageBreakPreview" zoomScaleNormal="100" zoomScaleSheetLayoutView="100" workbookViewId="0">
      <pane xSplit="2" ySplit="8" topLeftCell="U9" activePane="bottomRight" state="frozen"/>
      <selection pane="topRight" activeCell="C1" sqref="C1"/>
      <selection pane="bottomLeft" activeCell="A9" sqref="A9"/>
      <selection pane="bottomRight" activeCell="AD14" sqref="AD14"/>
    </sheetView>
  </sheetViews>
  <sheetFormatPr defaultRowHeight="15.75" x14ac:dyDescent="0.25"/>
  <cols>
    <col min="1" max="1" width="6.7109375" style="3" customWidth="1"/>
    <col min="2" max="2" width="48.140625" style="3" customWidth="1"/>
    <col min="3" max="3" width="6.140625" style="3" customWidth="1"/>
    <col min="4" max="4" width="7.28515625" style="3" customWidth="1"/>
    <col min="5" max="5" width="8.5703125" style="3" customWidth="1"/>
    <col min="6" max="6" width="9.5703125" style="3" customWidth="1"/>
    <col min="7" max="7" width="9.42578125" style="3" customWidth="1"/>
    <col min="8" max="9" width="7.42578125" style="3" customWidth="1"/>
    <col min="10" max="10" width="9.7109375" style="3" customWidth="1"/>
    <col min="11" max="11" width="8.5703125" style="3" customWidth="1"/>
    <col min="12" max="12" width="9.28515625" style="3" customWidth="1"/>
    <col min="13" max="13" width="7.5703125" style="3" customWidth="1"/>
    <col min="14" max="14" width="6.7109375" style="3" customWidth="1"/>
    <col min="15" max="15" width="9.85546875" style="3" customWidth="1"/>
    <col min="16" max="16" width="9.42578125" style="3" customWidth="1"/>
    <col min="17" max="17" width="7.140625" style="3" customWidth="1"/>
    <col min="18" max="18" width="6.42578125" style="3" customWidth="1"/>
    <col min="19" max="19" width="10.140625" style="3" customWidth="1"/>
    <col min="20" max="20" width="10.85546875" style="3" customWidth="1"/>
    <col min="21" max="21" width="10.28515625" style="3" customWidth="1"/>
    <col min="22" max="23" width="6.5703125" style="3" customWidth="1"/>
    <col min="24" max="24" width="9.140625" style="3"/>
    <col min="25" max="25" width="8.85546875" style="3" customWidth="1"/>
    <col min="26" max="29" width="9.140625" style="3"/>
    <col min="30" max="30" width="10.5703125" style="3" customWidth="1"/>
    <col min="31" max="16384" width="9.140625" style="3"/>
  </cols>
  <sheetData>
    <row r="1" spans="1:30" x14ac:dyDescent="0.25">
      <c r="J1" s="4" t="s">
        <v>95</v>
      </c>
    </row>
    <row r="2" spans="1:30" x14ac:dyDescent="0.25">
      <c r="A2" s="152" t="s">
        <v>83</v>
      </c>
      <c r="B2" s="152"/>
    </row>
    <row r="3" spans="1:30" ht="15.75" customHeight="1" x14ac:dyDescent="0.25">
      <c r="A3" s="149" t="s">
        <v>114</v>
      </c>
      <c r="B3" s="149"/>
    </row>
    <row r="4" spans="1:30" ht="16.5" thickBot="1" x14ac:dyDescent="0.3">
      <c r="F4" s="8"/>
      <c r="G4" s="14"/>
    </row>
    <row r="5" spans="1:30" ht="15.75" customHeight="1" x14ac:dyDescent="0.25">
      <c r="A5" s="133" t="s">
        <v>7</v>
      </c>
      <c r="B5" s="136" t="s">
        <v>1</v>
      </c>
      <c r="C5" s="139" t="s">
        <v>115</v>
      </c>
      <c r="D5" s="140"/>
      <c r="E5" s="140"/>
      <c r="F5" s="140"/>
      <c r="G5" s="140"/>
      <c r="H5" s="140"/>
      <c r="I5" s="140"/>
      <c r="J5" s="140"/>
      <c r="K5" s="140"/>
      <c r="L5" s="141"/>
      <c r="M5" s="133" t="s">
        <v>103</v>
      </c>
      <c r="N5" s="131"/>
      <c r="O5" s="131"/>
      <c r="P5" s="131"/>
      <c r="Q5" s="131"/>
      <c r="R5" s="131"/>
      <c r="S5" s="131"/>
      <c r="T5" s="131"/>
      <c r="U5" s="136"/>
      <c r="V5" s="133" t="s">
        <v>116</v>
      </c>
      <c r="W5" s="131"/>
      <c r="X5" s="131"/>
      <c r="Y5" s="131"/>
      <c r="Z5" s="131"/>
      <c r="AA5" s="131"/>
      <c r="AB5" s="131"/>
      <c r="AC5" s="131"/>
      <c r="AD5" s="136"/>
    </row>
    <row r="6" spans="1:30" ht="15.75" customHeight="1" x14ac:dyDescent="0.25">
      <c r="A6" s="128"/>
      <c r="B6" s="137"/>
      <c r="C6" s="150" t="s">
        <v>98</v>
      </c>
      <c r="D6" s="142"/>
      <c r="E6" s="142"/>
      <c r="F6" s="132"/>
      <c r="G6" s="15"/>
      <c r="H6" s="151" t="s">
        <v>99</v>
      </c>
      <c r="I6" s="142"/>
      <c r="J6" s="142"/>
      <c r="K6" s="132"/>
      <c r="L6" s="18"/>
      <c r="M6" s="150" t="s">
        <v>96</v>
      </c>
      <c r="N6" s="142"/>
      <c r="O6" s="142"/>
      <c r="P6" s="132"/>
      <c r="Q6" s="151" t="s">
        <v>97</v>
      </c>
      <c r="R6" s="142"/>
      <c r="S6" s="142"/>
      <c r="T6" s="132"/>
      <c r="U6" s="36">
        <v>2022</v>
      </c>
      <c r="V6" s="150" t="s">
        <v>96</v>
      </c>
      <c r="W6" s="142"/>
      <c r="X6" s="142"/>
      <c r="Y6" s="132"/>
      <c r="Z6" s="151" t="s">
        <v>97</v>
      </c>
      <c r="AA6" s="142"/>
      <c r="AB6" s="142"/>
      <c r="AC6" s="132"/>
      <c r="AD6" s="36">
        <v>2023</v>
      </c>
    </row>
    <row r="7" spans="1:30" ht="16.5" thickBot="1" x14ac:dyDescent="0.3">
      <c r="A7" s="134"/>
      <c r="B7" s="138"/>
      <c r="C7" s="41" t="s">
        <v>9</v>
      </c>
      <c r="D7" s="20" t="s">
        <v>10</v>
      </c>
      <c r="E7" s="20" t="s">
        <v>11</v>
      </c>
      <c r="F7" s="20" t="s">
        <v>12</v>
      </c>
      <c r="G7" s="20" t="s">
        <v>8</v>
      </c>
      <c r="H7" s="20" t="s">
        <v>9</v>
      </c>
      <c r="I7" s="20" t="s">
        <v>10</v>
      </c>
      <c r="J7" s="20" t="s">
        <v>11</v>
      </c>
      <c r="K7" s="20" t="s">
        <v>12</v>
      </c>
      <c r="L7" s="23" t="s">
        <v>8</v>
      </c>
      <c r="M7" s="41" t="s">
        <v>9</v>
      </c>
      <c r="N7" s="20" t="s">
        <v>10</v>
      </c>
      <c r="O7" s="20" t="s">
        <v>11</v>
      </c>
      <c r="P7" s="20" t="s">
        <v>12</v>
      </c>
      <c r="Q7" s="20" t="s">
        <v>9</v>
      </c>
      <c r="R7" s="20" t="s">
        <v>10</v>
      </c>
      <c r="S7" s="20" t="s">
        <v>11</v>
      </c>
      <c r="T7" s="20" t="s">
        <v>12</v>
      </c>
      <c r="U7" s="48" t="s">
        <v>8</v>
      </c>
      <c r="V7" s="41" t="s">
        <v>9</v>
      </c>
      <c r="W7" s="20" t="s">
        <v>10</v>
      </c>
      <c r="X7" s="20" t="s">
        <v>11</v>
      </c>
      <c r="Y7" s="20" t="s">
        <v>12</v>
      </c>
      <c r="Z7" s="20" t="s">
        <v>9</v>
      </c>
      <c r="AA7" s="20" t="s">
        <v>10</v>
      </c>
      <c r="AB7" s="20" t="s">
        <v>11</v>
      </c>
      <c r="AC7" s="20" t="s">
        <v>12</v>
      </c>
      <c r="AD7" s="48" t="s">
        <v>8</v>
      </c>
    </row>
    <row r="8" spans="1:30" x14ac:dyDescent="0.25">
      <c r="A8" s="43">
        <v>1</v>
      </c>
      <c r="B8" s="44">
        <v>2</v>
      </c>
      <c r="C8" s="43">
        <v>3</v>
      </c>
      <c r="D8" s="45">
        <v>4</v>
      </c>
      <c r="E8" s="45">
        <v>5</v>
      </c>
      <c r="F8" s="45">
        <v>6</v>
      </c>
      <c r="G8" s="45">
        <v>7</v>
      </c>
      <c r="H8" s="45">
        <v>8</v>
      </c>
      <c r="I8" s="45">
        <v>9</v>
      </c>
      <c r="J8" s="45">
        <v>10</v>
      </c>
      <c r="K8" s="45">
        <v>11</v>
      </c>
      <c r="L8" s="44">
        <v>12</v>
      </c>
      <c r="M8" s="43">
        <v>31</v>
      </c>
      <c r="N8" s="45">
        <v>32</v>
      </c>
      <c r="O8" s="45">
        <v>33</v>
      </c>
      <c r="P8" s="45">
        <v>34</v>
      </c>
      <c r="Q8" s="46">
        <v>35</v>
      </c>
      <c r="R8" s="46">
        <v>36</v>
      </c>
      <c r="S8" s="46">
        <v>37</v>
      </c>
      <c r="T8" s="46">
        <v>38</v>
      </c>
      <c r="U8" s="47">
        <v>39</v>
      </c>
      <c r="V8" s="43">
        <v>40</v>
      </c>
      <c r="W8" s="45">
        <v>41</v>
      </c>
      <c r="X8" s="45">
        <v>42</v>
      </c>
      <c r="Y8" s="45">
        <v>43</v>
      </c>
      <c r="Z8" s="46">
        <v>44</v>
      </c>
      <c r="AA8" s="46">
        <v>45</v>
      </c>
      <c r="AB8" s="46">
        <v>46</v>
      </c>
      <c r="AC8" s="46">
        <v>47</v>
      </c>
      <c r="AD8" s="47">
        <v>48</v>
      </c>
    </row>
    <row r="9" spans="1:30" x14ac:dyDescent="0.25">
      <c r="A9" s="34" t="s">
        <v>2</v>
      </c>
      <c r="B9" s="25" t="s">
        <v>84</v>
      </c>
      <c r="C9" s="26"/>
      <c r="D9" s="27"/>
      <c r="E9" s="27">
        <f>E10</f>
        <v>2.0456342662002331</v>
      </c>
      <c r="F9" s="27"/>
      <c r="G9" s="27">
        <f>SUM(C9:F9)</f>
        <v>2.0456342662002331</v>
      </c>
      <c r="H9" s="27"/>
      <c r="I9" s="27"/>
      <c r="J9" s="27">
        <f>J10</f>
        <v>2.1347577600088843</v>
      </c>
      <c r="K9" s="27"/>
      <c r="L9" s="39">
        <f>J9</f>
        <v>2.1347577600088843</v>
      </c>
      <c r="M9" s="26"/>
      <c r="N9" s="27"/>
      <c r="O9" s="27">
        <f>'П 1.4'!O9*1000000/7203.6/1000</f>
        <v>1.3065520711866287</v>
      </c>
      <c r="P9" s="27"/>
      <c r="Q9" s="28"/>
      <c r="R9" s="28"/>
      <c r="S9" s="28">
        <f>O9</f>
        <v>1.3065520711866287</v>
      </c>
      <c r="T9" s="28"/>
      <c r="U9" s="29">
        <f>O9+S9</f>
        <v>2.6131041423732575</v>
      </c>
      <c r="V9" s="26"/>
      <c r="W9" s="27"/>
      <c r="X9" s="27">
        <f>'П 1.4'!X9*1000000/7203.6/1000</f>
        <v>4.1770197939918932</v>
      </c>
      <c r="Y9" s="27"/>
      <c r="Z9" s="28"/>
      <c r="AA9" s="28"/>
      <c r="AB9" s="28">
        <f>X9</f>
        <v>4.1770197939918932</v>
      </c>
      <c r="AC9" s="28"/>
      <c r="AD9" s="29">
        <f>X9+AB9</f>
        <v>8.3540395879837863</v>
      </c>
    </row>
    <row r="10" spans="1:30" x14ac:dyDescent="0.25">
      <c r="A10" s="34" t="s">
        <v>14</v>
      </c>
      <c r="B10" s="35" t="s">
        <v>85</v>
      </c>
      <c r="C10" s="26"/>
      <c r="D10" s="27"/>
      <c r="E10" s="27">
        <f>E14+E17+F17+F14</f>
        <v>2.0456342662002331</v>
      </c>
      <c r="F10" s="27"/>
      <c r="G10" s="27">
        <f t="shared" ref="G10:G18" si="0">SUM(C10:F10)</f>
        <v>2.0456342662002331</v>
      </c>
      <c r="H10" s="27"/>
      <c r="I10" s="27"/>
      <c r="J10" s="27">
        <f>'П 1.4'!J10*1000000/7203.6/1000</f>
        <v>2.1347577600088843</v>
      </c>
      <c r="K10" s="27"/>
      <c r="L10" s="39">
        <f>J10</f>
        <v>2.1347577600088843</v>
      </c>
      <c r="M10" s="26"/>
      <c r="N10" s="27"/>
      <c r="O10" s="27">
        <f>O9</f>
        <v>1.3065520711866287</v>
      </c>
      <c r="P10" s="27"/>
      <c r="Q10" s="28"/>
      <c r="R10" s="28"/>
      <c r="S10" s="28">
        <f>O10</f>
        <v>1.3065520711866287</v>
      </c>
      <c r="T10" s="28"/>
      <c r="U10" s="29">
        <f>U9</f>
        <v>2.6131041423732575</v>
      </c>
      <c r="V10" s="26"/>
      <c r="W10" s="27"/>
      <c r="X10" s="27">
        <f>X9</f>
        <v>4.1770197939918932</v>
      </c>
      <c r="Y10" s="27"/>
      <c r="Z10" s="28"/>
      <c r="AA10" s="28"/>
      <c r="AB10" s="28">
        <f>X10</f>
        <v>4.1770197939918932</v>
      </c>
      <c r="AC10" s="28"/>
      <c r="AD10" s="29">
        <f>AD9</f>
        <v>8.3540395879837863</v>
      </c>
    </row>
    <row r="11" spans="1:30" x14ac:dyDescent="0.25">
      <c r="A11" s="34" t="s">
        <v>17</v>
      </c>
      <c r="B11" s="35" t="s">
        <v>86</v>
      </c>
      <c r="C11" s="26"/>
      <c r="D11" s="27"/>
      <c r="E11" s="27"/>
      <c r="F11" s="27"/>
      <c r="G11" s="27"/>
      <c r="H11" s="27"/>
      <c r="I11" s="27"/>
      <c r="J11" s="27"/>
      <c r="K11" s="27"/>
      <c r="L11" s="39"/>
      <c r="M11" s="26"/>
      <c r="N11" s="27"/>
      <c r="O11" s="27"/>
      <c r="P11" s="27"/>
      <c r="Q11" s="28"/>
      <c r="R11" s="28"/>
      <c r="S11" s="28"/>
      <c r="T11" s="28"/>
      <c r="U11" s="29"/>
      <c r="V11" s="26"/>
      <c r="W11" s="27"/>
      <c r="X11" s="27"/>
      <c r="Y11" s="27"/>
      <c r="Z11" s="28"/>
      <c r="AA11" s="28"/>
      <c r="AB11" s="28"/>
      <c r="AC11" s="28"/>
      <c r="AD11" s="29"/>
    </row>
    <row r="12" spans="1:30" ht="31.5" x14ac:dyDescent="0.25">
      <c r="A12" s="34"/>
      <c r="B12" s="25" t="s">
        <v>20</v>
      </c>
      <c r="C12" s="26"/>
      <c r="D12" s="27"/>
      <c r="E12" s="27"/>
      <c r="F12" s="27"/>
      <c r="G12" s="27"/>
      <c r="H12" s="27"/>
      <c r="I12" s="27"/>
      <c r="J12" s="27"/>
      <c r="K12" s="27"/>
      <c r="L12" s="39"/>
      <c r="M12" s="26"/>
      <c r="N12" s="27"/>
      <c r="O12" s="27"/>
      <c r="P12" s="27"/>
      <c r="Q12" s="28"/>
      <c r="R12" s="28"/>
      <c r="S12" s="28"/>
      <c r="T12" s="28"/>
      <c r="U12" s="29"/>
      <c r="V12" s="26"/>
      <c r="W12" s="27"/>
      <c r="X12" s="27"/>
      <c r="Y12" s="27"/>
      <c r="Z12" s="28"/>
      <c r="AA12" s="28"/>
      <c r="AB12" s="28"/>
      <c r="AC12" s="28"/>
      <c r="AD12" s="29"/>
    </row>
    <row r="13" spans="1:30" x14ac:dyDescent="0.25">
      <c r="A13" s="34"/>
      <c r="B13" s="35" t="s">
        <v>87</v>
      </c>
      <c r="C13" s="26"/>
      <c r="D13" s="27"/>
      <c r="E13" s="27"/>
      <c r="F13" s="27"/>
      <c r="G13" s="27"/>
      <c r="H13" s="27"/>
      <c r="I13" s="27"/>
      <c r="J13" s="27"/>
      <c r="K13" s="27"/>
      <c r="L13" s="39"/>
      <c r="M13" s="26"/>
      <c r="N13" s="27"/>
      <c r="O13" s="27"/>
      <c r="P13" s="27"/>
      <c r="Q13" s="28"/>
      <c r="R13" s="28"/>
      <c r="S13" s="28"/>
      <c r="T13" s="28"/>
      <c r="U13" s="29"/>
      <c r="V13" s="26"/>
      <c r="W13" s="27"/>
      <c r="X13" s="27"/>
      <c r="Y13" s="27"/>
      <c r="Z13" s="28"/>
      <c r="AA13" s="28"/>
      <c r="AB13" s="28"/>
      <c r="AC13" s="28"/>
      <c r="AD13" s="29"/>
    </row>
    <row r="14" spans="1:30" x14ac:dyDescent="0.25">
      <c r="A14" s="34" t="s">
        <v>3</v>
      </c>
      <c r="B14" s="35" t="s">
        <v>88</v>
      </c>
      <c r="C14" s="26"/>
      <c r="D14" s="27"/>
      <c r="E14" s="27">
        <f>'П 1.4'!E18*1000000/7203.6/1000</f>
        <v>9.4942945194069622E-2</v>
      </c>
      <c r="F14" s="27">
        <f>'П 1.4'!F18*1000000/7203.6/1000</f>
        <v>7.662835249042145E-2</v>
      </c>
      <c r="G14" s="27">
        <f t="shared" si="0"/>
        <v>0.17157129768449109</v>
      </c>
      <c r="H14" s="27"/>
      <c r="I14" s="27"/>
      <c r="J14" s="27">
        <f>'П 1.4'!J18*1000000/7203.6/1000</f>
        <v>6.0120772946859899E-2</v>
      </c>
      <c r="K14" s="27">
        <f>'П 1.4'!K18*1000000/7203.6/1000</f>
        <v>5.8829751790771274E-2</v>
      </c>
      <c r="L14" s="39">
        <f>'П 1.4'!L18*1000000/7203.6/1000</f>
        <v>0.11895052473763119</v>
      </c>
      <c r="M14" s="26"/>
      <c r="N14" s="27"/>
      <c r="O14" s="27">
        <f>'П 1.4'!O18*1000000/7203.6/1000</f>
        <v>5.7918054861458144E-2</v>
      </c>
      <c r="P14" s="27">
        <f>'П 1.4'!P18*1000000/7203.6/1000</f>
        <v>5.1675551113332219E-2</v>
      </c>
      <c r="Q14" s="28"/>
      <c r="R14" s="28"/>
      <c r="S14" s="28">
        <f t="shared" ref="S14" si="1">O14</f>
        <v>5.7918054861458144E-2</v>
      </c>
      <c r="T14" s="28">
        <f>P14</f>
        <v>5.1675551113332219E-2</v>
      </c>
      <c r="U14" s="29">
        <f>SUM(M14:T14)</f>
        <v>0.21918721194958074</v>
      </c>
      <c r="V14" s="26"/>
      <c r="W14" s="27"/>
      <c r="X14" s="27">
        <f>'П 1.4'!X18*1000000/7203.6/1000</f>
        <v>0.17079374035204622</v>
      </c>
      <c r="Y14" s="27">
        <f>'П 1.4'!Y18*1000000/7203.6/1000</f>
        <v>0.17959770114942533</v>
      </c>
      <c r="Z14" s="28"/>
      <c r="AA14" s="28"/>
      <c r="AB14" s="28">
        <f t="shared" ref="AB14" si="2">X14</f>
        <v>0.17079374035204622</v>
      </c>
      <c r="AC14" s="28">
        <f>Y14</f>
        <v>0.17959770114942533</v>
      </c>
      <c r="AD14" s="29">
        <f>SUM(V14:AC14)</f>
        <v>0.70078288300294311</v>
      </c>
    </row>
    <row r="15" spans="1:30" x14ac:dyDescent="0.25">
      <c r="A15" s="34"/>
      <c r="B15" s="35" t="s">
        <v>89</v>
      </c>
      <c r="C15" s="26"/>
      <c r="D15" s="27"/>
      <c r="E15" s="27"/>
      <c r="F15" s="27"/>
      <c r="G15" s="27"/>
      <c r="H15" s="27"/>
      <c r="I15" s="27"/>
      <c r="J15" s="27"/>
      <c r="K15" s="27"/>
      <c r="L15" s="39"/>
      <c r="M15" s="26"/>
      <c r="N15" s="27"/>
      <c r="O15" s="27"/>
      <c r="P15" s="27"/>
      <c r="Q15" s="28"/>
      <c r="R15" s="28"/>
      <c r="S15" s="28"/>
      <c r="T15" s="28"/>
      <c r="U15" s="29"/>
      <c r="V15" s="26"/>
      <c r="W15" s="27"/>
      <c r="X15" s="27"/>
      <c r="Y15" s="27"/>
      <c r="Z15" s="28"/>
      <c r="AA15" s="28"/>
      <c r="AB15" s="28"/>
      <c r="AC15" s="28"/>
      <c r="AD15" s="29"/>
    </row>
    <row r="16" spans="1:30" ht="31.5" x14ac:dyDescent="0.25">
      <c r="A16" s="34" t="s">
        <v>4</v>
      </c>
      <c r="B16" s="25" t="s">
        <v>90</v>
      </c>
      <c r="C16" s="26"/>
      <c r="D16" s="27"/>
      <c r="E16" s="27"/>
      <c r="F16" s="27"/>
      <c r="G16" s="27"/>
      <c r="H16" s="27"/>
      <c r="I16" s="27"/>
      <c r="J16" s="27"/>
      <c r="K16" s="27"/>
      <c r="L16" s="39"/>
      <c r="M16" s="26"/>
      <c r="N16" s="27"/>
      <c r="O16" s="27"/>
      <c r="P16" s="27"/>
      <c r="Q16" s="28"/>
      <c r="R16" s="28"/>
      <c r="S16" s="28"/>
      <c r="T16" s="28"/>
      <c r="U16" s="29"/>
      <c r="V16" s="26"/>
      <c r="W16" s="27"/>
      <c r="X16" s="27"/>
      <c r="Y16" s="27"/>
      <c r="Z16" s="28"/>
      <c r="AA16" s="28"/>
      <c r="AB16" s="28"/>
      <c r="AC16" s="28"/>
      <c r="AD16" s="29"/>
    </row>
    <row r="17" spans="1:30" x14ac:dyDescent="0.25">
      <c r="A17" s="34" t="s">
        <v>5</v>
      </c>
      <c r="B17" s="25" t="s">
        <v>91</v>
      </c>
      <c r="C17" s="26"/>
      <c r="D17" s="27"/>
      <c r="E17" s="27">
        <f>'П 1.4'!E21*1000000/7203.6/1000</f>
        <v>0.16575045810428118</v>
      </c>
      <c r="F17" s="27">
        <f>'П 1.4'!F21*1000000/7203.6/1000</f>
        <v>1.7083125104114609</v>
      </c>
      <c r="G17" s="27">
        <f t="shared" si="0"/>
        <v>1.8740629685157422</v>
      </c>
      <c r="H17" s="27"/>
      <c r="I17" s="27"/>
      <c r="J17" s="27">
        <f>'П 1.4'!J21*1000000/7203.6/1000</f>
        <v>0.17187961574768171</v>
      </c>
      <c r="K17" s="27">
        <f>'П 1.4'!K21*1000000/7203.6/1000</f>
        <v>1.8439276195235719</v>
      </c>
      <c r="L17" s="39">
        <f>SUM(H17:K17)</f>
        <v>2.0158072352712537</v>
      </c>
      <c r="M17" s="26"/>
      <c r="N17" s="27"/>
      <c r="O17" s="27">
        <f>O18+O20</f>
        <v>5.2783677605641621E-2</v>
      </c>
      <c r="P17" s="27">
        <f>P18+P20</f>
        <v>1.1441747876061972</v>
      </c>
      <c r="Q17" s="28"/>
      <c r="R17" s="28"/>
      <c r="S17" s="28">
        <f t="shared" ref="S17:S18" si="3">O17</f>
        <v>5.2783677605641621E-2</v>
      </c>
      <c r="T17" s="28">
        <f t="shared" ref="T17:T18" si="4">P17</f>
        <v>1.1441747876061972</v>
      </c>
      <c r="U17" s="29">
        <f>SUM(M17:T17)</f>
        <v>2.3939169304236776</v>
      </c>
      <c r="V17" s="26"/>
      <c r="W17" s="27"/>
      <c r="X17" s="27">
        <f>X18+X20</f>
        <v>1.4010355933144536</v>
      </c>
      <c r="Y17" s="27">
        <f>Y18+Y20</f>
        <v>2.425592759175967</v>
      </c>
      <c r="Z17" s="28"/>
      <c r="AA17" s="28"/>
      <c r="AB17" s="28">
        <f t="shared" ref="AB17:AB18" si="5">X17</f>
        <v>1.4010355933144536</v>
      </c>
      <c r="AC17" s="28">
        <f t="shared" ref="AC17:AC18" si="6">Y17</f>
        <v>2.425592759175967</v>
      </c>
      <c r="AD17" s="29">
        <f>SUM(V17:AC17)</f>
        <v>7.6532567049808407</v>
      </c>
    </row>
    <row r="18" spans="1:30" ht="47.25" x14ac:dyDescent="0.25">
      <c r="A18" s="33" t="s">
        <v>26</v>
      </c>
      <c r="B18" s="40" t="s">
        <v>92</v>
      </c>
      <c r="C18" s="51"/>
      <c r="D18" s="38"/>
      <c r="E18" s="38">
        <f>'П 1.4'!E23*1000000/7203.6/1000</f>
        <v>0.15672719195957574</v>
      </c>
      <c r="F18" s="38">
        <f>'П 1.4'!F23*1000000/7203.6/1000</f>
        <v>1.7083125104114609</v>
      </c>
      <c r="G18" s="27">
        <f t="shared" si="0"/>
        <v>1.8650397023710368</v>
      </c>
      <c r="H18" s="38"/>
      <c r="I18" s="38"/>
      <c r="J18" s="38">
        <f>'П 1.4'!J23*1000000/7203.6/1000</f>
        <v>9.1121383752568147E-2</v>
      </c>
      <c r="K18" s="38">
        <f>K17</f>
        <v>1.8439276195235719</v>
      </c>
      <c r="L18" s="39">
        <f>SUM(H18:K18)</f>
        <v>1.93504900327614</v>
      </c>
      <c r="M18" s="26"/>
      <c r="N18" s="27"/>
      <c r="O18" s="27">
        <f>'П 1.4'!O23*1000000/7203.6/1000</f>
        <v>5.2783677605641621E-2</v>
      </c>
      <c r="P18" s="27">
        <f>'П 1.4'!P23*1000000/7203.6/1000</f>
        <v>1.1417721000610808</v>
      </c>
      <c r="Q18" s="28"/>
      <c r="R18" s="28"/>
      <c r="S18" s="28">
        <f t="shared" si="3"/>
        <v>5.2783677605641621E-2</v>
      </c>
      <c r="T18" s="28">
        <f t="shared" si="4"/>
        <v>1.1417721000610808</v>
      </c>
      <c r="U18" s="29">
        <f>SUM(M18:T18)</f>
        <v>2.3891115553334448</v>
      </c>
      <c r="V18" s="26"/>
      <c r="W18" s="27"/>
      <c r="X18" s="27">
        <f>'П 1.4'!X23*1000000/7203.6/1000</f>
        <v>1.0678688433560994</v>
      </c>
      <c r="Y18" s="27">
        <f>'П 1.4'!Y23*1000000/7203.6/1000</f>
        <v>2.4231634182908541</v>
      </c>
      <c r="Z18" s="28"/>
      <c r="AA18" s="28"/>
      <c r="AB18" s="28">
        <f t="shared" si="5"/>
        <v>1.0678688433560994</v>
      </c>
      <c r="AC18" s="28">
        <f t="shared" si="6"/>
        <v>2.4231634182908541</v>
      </c>
      <c r="AD18" s="29">
        <f>SUM(V18:AC18)</f>
        <v>6.9820645232939071</v>
      </c>
    </row>
    <row r="19" spans="1:30" ht="31.5" x14ac:dyDescent="0.25">
      <c r="A19" s="34" t="s">
        <v>31</v>
      </c>
      <c r="B19" s="25" t="s">
        <v>93</v>
      </c>
      <c r="C19" s="26"/>
      <c r="D19" s="27"/>
      <c r="E19" s="27"/>
      <c r="F19" s="27"/>
      <c r="G19" s="27"/>
      <c r="H19" s="27"/>
      <c r="I19" s="27"/>
      <c r="J19" s="27"/>
      <c r="K19" s="27"/>
      <c r="L19" s="39"/>
      <c r="M19" s="26"/>
      <c r="N19" s="27"/>
      <c r="O19" s="27"/>
      <c r="P19" s="27"/>
      <c r="Q19" s="28"/>
      <c r="R19" s="28"/>
      <c r="S19" s="28"/>
      <c r="T19" s="28"/>
      <c r="U19" s="29"/>
      <c r="V19" s="26"/>
      <c r="W19" s="27"/>
      <c r="X19" s="27"/>
      <c r="Y19" s="27"/>
      <c r="Z19" s="28"/>
      <c r="AA19" s="28"/>
      <c r="AB19" s="28"/>
      <c r="AC19" s="28"/>
      <c r="AD19" s="29"/>
    </row>
    <row r="20" spans="1:30" ht="16.5" thickBot="1" x14ac:dyDescent="0.3">
      <c r="A20" s="41" t="s">
        <v>33</v>
      </c>
      <c r="B20" s="42" t="s">
        <v>94</v>
      </c>
      <c r="C20" s="30"/>
      <c r="D20" s="31"/>
      <c r="E20" s="31">
        <f>'П 1.4'!E28*1000000/7203.6/1000</f>
        <v>9.0232661447054233E-3</v>
      </c>
      <c r="F20" s="31"/>
      <c r="G20" s="31">
        <f>'П 1.4'!G28*1000000/7203.6/1000</f>
        <v>9.0232661447054233E-3</v>
      </c>
      <c r="H20" s="31"/>
      <c r="I20" s="31"/>
      <c r="J20" s="31">
        <f>'П 1.4'!J28*1000000/7203.6/1000</f>
        <v>8.0758231995113547E-2</v>
      </c>
      <c r="K20" s="31"/>
      <c r="L20" s="52">
        <f>SUM(H20:K20)</f>
        <v>8.0758231995113547E-2</v>
      </c>
      <c r="M20" s="30"/>
      <c r="N20" s="31"/>
      <c r="O20" s="31">
        <f>'П 1.4'!O28*1000000/7203.6/1000</f>
        <v>0</v>
      </c>
      <c r="P20" s="31">
        <f>'П 1.4'!P28*1000000/7203.6/1000</f>
        <v>2.4026875451163307E-3</v>
      </c>
      <c r="Q20" s="49"/>
      <c r="R20" s="49"/>
      <c r="S20" s="49">
        <f t="shared" ref="S20:T20" si="7">O20</f>
        <v>0</v>
      </c>
      <c r="T20" s="49">
        <f t="shared" si="7"/>
        <v>2.4026875451163307E-3</v>
      </c>
      <c r="U20" s="50">
        <f>SUM(M20:T20)</f>
        <v>4.8053750902326614E-3</v>
      </c>
      <c r="V20" s="30"/>
      <c r="W20" s="31"/>
      <c r="X20" s="31">
        <f>'П 1.4'!X28*1000000/7203.6/1000</f>
        <v>0.33316674995835416</v>
      </c>
      <c r="Y20" s="31">
        <f>'П 1.4'!Y28*1000000/7203.6/1000</f>
        <v>2.4293408851129988E-3</v>
      </c>
      <c r="Z20" s="49"/>
      <c r="AA20" s="49"/>
      <c r="AB20" s="49">
        <f t="shared" ref="AB20:AC20" si="8">X20</f>
        <v>0.33316674995835416</v>
      </c>
      <c r="AC20" s="49">
        <f t="shared" si="8"/>
        <v>2.4293408851129988E-3</v>
      </c>
      <c r="AD20" s="50">
        <f>SUM(V20:AC20)</f>
        <v>0.6711921816869344</v>
      </c>
    </row>
  </sheetData>
  <mergeCells count="13">
    <mergeCell ref="A3:B3"/>
    <mergeCell ref="A2:B2"/>
    <mergeCell ref="A5:A7"/>
    <mergeCell ref="B5:B7"/>
    <mergeCell ref="C5:L5"/>
    <mergeCell ref="C6:F6"/>
    <mergeCell ref="H6:K6"/>
    <mergeCell ref="M5:U5"/>
    <mergeCell ref="M6:P6"/>
    <mergeCell ref="Q6:T6"/>
    <mergeCell ref="V5:AD5"/>
    <mergeCell ref="V6:Y6"/>
    <mergeCell ref="Z6:AC6"/>
  </mergeCells>
  <printOptions horizontalCentered="1"/>
  <pageMargins left="0.39370078740157483" right="0.39370078740157483" top="0.78740157480314965" bottom="0.39370078740157483" header="0.31496062992125984" footer="0.31496062992125984"/>
  <pageSetup paperSize="9" fitToWidth="0" orientation="landscape" r:id="rId1"/>
  <headerFooter>
    <oddFooter>Страница &amp;P</oddFooter>
  </headerFooter>
  <colBreaks count="2" manualBreakCount="2">
    <brk id="12" max="1048575" man="1"/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 1.3</vt:lpstr>
      <vt:lpstr>П 1.4</vt:lpstr>
      <vt:lpstr>П 1.5</vt:lpstr>
      <vt:lpstr>'П 1.3'!Заголовки_для_печати</vt:lpstr>
      <vt:lpstr>'П 1.4'!Заголовки_для_печати</vt:lpstr>
      <vt:lpstr>'П 1.5'!Заголовки_для_печати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2023-08-22T10:38:54Z</dcterms:modified>
</cp:coreProperties>
</file>